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ФЕР'!$34:$34</definedName>
    <definedName name="_xlnm.Print_Area" localSheetId="0">'Смета 10 гр. по ФЕР'!$A$1:$J$156</definedName>
  </definedNames>
  <calcPr calcId="145621"/>
</workbook>
</file>

<file path=xl/calcChain.xml><?xml version="1.0" encoding="utf-8"?>
<calcChain xmlns="http://schemas.openxmlformats.org/spreadsheetml/2006/main">
  <c r="I30" i="5" l="1"/>
  <c r="I29" i="5"/>
  <c r="H29" i="5" s="1"/>
  <c r="I28" i="5"/>
  <c r="A142" i="5"/>
  <c r="A140" i="5"/>
  <c r="H137" i="5"/>
  <c r="G137" i="5"/>
  <c r="E137" i="5"/>
  <c r="I136" i="5"/>
  <c r="C136" i="5"/>
  <c r="E136" i="5"/>
  <c r="I135" i="5"/>
  <c r="C135" i="5"/>
  <c r="E135" i="5"/>
  <c r="J134" i="5"/>
  <c r="I134" i="5"/>
  <c r="H134" i="5"/>
  <c r="F134" i="5"/>
  <c r="U134" i="5"/>
  <c r="S134" i="5"/>
  <c r="T134" i="5"/>
  <c r="R134" i="5"/>
  <c r="E134" i="5"/>
  <c r="D134" i="5"/>
  <c r="B134" i="5"/>
  <c r="A134" i="5"/>
  <c r="J133" i="5"/>
  <c r="I133" i="5"/>
  <c r="H133" i="5"/>
  <c r="F133" i="5"/>
  <c r="U133" i="5"/>
  <c r="S133" i="5"/>
  <c r="T133" i="5"/>
  <c r="R133" i="5"/>
  <c r="E133" i="5"/>
  <c r="D133" i="5"/>
  <c r="B133" i="5"/>
  <c r="A133" i="5"/>
  <c r="J132" i="5"/>
  <c r="I132" i="5"/>
  <c r="H132" i="5"/>
  <c r="G132" i="5"/>
  <c r="F132" i="5"/>
  <c r="J131" i="5"/>
  <c r="I131" i="5"/>
  <c r="Q131" i="5"/>
  <c r="H131" i="5"/>
  <c r="G131" i="5"/>
  <c r="F131" i="5"/>
  <c r="J130" i="5"/>
  <c r="I130" i="5"/>
  <c r="H130" i="5"/>
  <c r="G130" i="5"/>
  <c r="F130" i="5"/>
  <c r="J129" i="5"/>
  <c r="I129" i="5"/>
  <c r="Q129" i="5"/>
  <c r="H129" i="5"/>
  <c r="G129" i="5"/>
  <c r="F129" i="5"/>
  <c r="U128" i="5"/>
  <c r="S128" i="5"/>
  <c r="T128" i="5"/>
  <c r="R128" i="5"/>
  <c r="E128" i="5"/>
  <c r="D128" i="5"/>
  <c r="I128" i="5"/>
  <c r="C128" i="5"/>
  <c r="B128" i="5"/>
  <c r="A128" i="5"/>
  <c r="H126" i="5"/>
  <c r="G126" i="5"/>
  <c r="E126" i="5"/>
  <c r="I125" i="5"/>
  <c r="C125" i="5"/>
  <c r="E125" i="5"/>
  <c r="I124" i="5"/>
  <c r="C124" i="5"/>
  <c r="E124" i="5"/>
  <c r="J123" i="5"/>
  <c r="I123" i="5"/>
  <c r="Q123" i="5"/>
  <c r="H123" i="5"/>
  <c r="G123" i="5"/>
  <c r="F123" i="5"/>
  <c r="J122" i="5"/>
  <c r="I122" i="5"/>
  <c r="H122" i="5"/>
  <c r="G122" i="5"/>
  <c r="F122" i="5"/>
  <c r="J121" i="5"/>
  <c r="I121" i="5"/>
  <c r="Q121" i="5"/>
  <c r="H121" i="5"/>
  <c r="G121" i="5"/>
  <c r="F121" i="5"/>
  <c r="U120" i="5"/>
  <c r="J125" i="5" s="1"/>
  <c r="S120" i="5"/>
  <c r="J124" i="5" s="1"/>
  <c r="T120" i="5"/>
  <c r="H125" i="5" s="1"/>
  <c r="R120" i="5"/>
  <c r="H124" i="5" s="1"/>
  <c r="E120" i="5"/>
  <c r="D120" i="5"/>
  <c r="I120" i="5"/>
  <c r="C120" i="5"/>
  <c r="B120" i="5"/>
  <c r="A120" i="5"/>
  <c r="H118" i="5"/>
  <c r="G118" i="5"/>
  <c r="E118" i="5"/>
  <c r="I117" i="5"/>
  <c r="C117" i="5"/>
  <c r="E117" i="5"/>
  <c r="I116" i="5"/>
  <c r="C116" i="5"/>
  <c r="E116" i="5"/>
  <c r="J115" i="5"/>
  <c r="I115" i="5"/>
  <c r="H115" i="5"/>
  <c r="G115" i="5"/>
  <c r="F115" i="5"/>
  <c r="J114" i="5"/>
  <c r="I114" i="5"/>
  <c r="Q114" i="5"/>
  <c r="H114" i="5"/>
  <c r="G114" i="5"/>
  <c r="F114" i="5"/>
  <c r="J113" i="5"/>
  <c r="I113" i="5"/>
  <c r="H113" i="5"/>
  <c r="G113" i="5"/>
  <c r="F113" i="5"/>
  <c r="J112" i="5"/>
  <c r="I112" i="5"/>
  <c r="Q112" i="5"/>
  <c r="H112" i="5"/>
  <c r="G112" i="5"/>
  <c r="F112" i="5"/>
  <c r="U111" i="5"/>
  <c r="J117" i="5" s="1"/>
  <c r="S111" i="5"/>
  <c r="J116" i="5" s="1"/>
  <c r="T111" i="5"/>
  <c r="H117" i="5" s="1"/>
  <c r="R111" i="5"/>
  <c r="H116" i="5" s="1"/>
  <c r="E111" i="5"/>
  <c r="D111" i="5"/>
  <c r="I111" i="5"/>
  <c r="C111" i="5"/>
  <c r="B111" i="5"/>
  <c r="A111" i="5"/>
  <c r="H109" i="5"/>
  <c r="G109" i="5"/>
  <c r="E109" i="5"/>
  <c r="I108" i="5"/>
  <c r="C108" i="5"/>
  <c r="E108" i="5"/>
  <c r="I107" i="5"/>
  <c r="C107" i="5"/>
  <c r="E107" i="5"/>
  <c r="J106" i="5"/>
  <c r="I106" i="5"/>
  <c r="H106" i="5"/>
  <c r="F106" i="5"/>
  <c r="U106" i="5"/>
  <c r="S106" i="5"/>
  <c r="T106" i="5"/>
  <c r="R106" i="5"/>
  <c r="E106" i="5"/>
  <c r="D106" i="5"/>
  <c r="B106" i="5"/>
  <c r="A106" i="5"/>
  <c r="J105" i="5"/>
  <c r="I105" i="5"/>
  <c r="H105" i="5"/>
  <c r="F105" i="5"/>
  <c r="U105" i="5"/>
  <c r="S105" i="5"/>
  <c r="T105" i="5"/>
  <c r="R105" i="5"/>
  <c r="E105" i="5"/>
  <c r="D105" i="5"/>
  <c r="C105" i="5"/>
  <c r="B105" i="5"/>
  <c r="A105" i="5"/>
  <c r="J104" i="5"/>
  <c r="I104" i="5"/>
  <c r="H104" i="5"/>
  <c r="G104" i="5"/>
  <c r="F104" i="5"/>
  <c r="J103" i="5"/>
  <c r="I103" i="5"/>
  <c r="Q103" i="5"/>
  <c r="H103" i="5"/>
  <c r="G103" i="5"/>
  <c r="F103" i="5"/>
  <c r="J102" i="5"/>
  <c r="I102" i="5"/>
  <c r="H102" i="5"/>
  <c r="G102" i="5"/>
  <c r="F102" i="5"/>
  <c r="J101" i="5"/>
  <c r="I101" i="5"/>
  <c r="Q101" i="5"/>
  <c r="H101" i="5"/>
  <c r="G101" i="5"/>
  <c r="F101" i="5"/>
  <c r="U100" i="5"/>
  <c r="S100" i="5"/>
  <c r="T100" i="5"/>
  <c r="R100" i="5"/>
  <c r="E100" i="5"/>
  <c r="D100" i="5"/>
  <c r="I100" i="5"/>
  <c r="C100" i="5"/>
  <c r="B100" i="5"/>
  <c r="A100" i="5"/>
  <c r="H98" i="5"/>
  <c r="G98" i="5"/>
  <c r="E98" i="5"/>
  <c r="I97" i="5"/>
  <c r="C97" i="5"/>
  <c r="E97" i="5"/>
  <c r="I96" i="5"/>
  <c r="C96" i="5"/>
  <c r="E96" i="5"/>
  <c r="J95" i="5"/>
  <c r="I95" i="5"/>
  <c r="H95" i="5"/>
  <c r="F95" i="5"/>
  <c r="U95" i="5"/>
  <c r="S95" i="5"/>
  <c r="T95" i="5"/>
  <c r="R95" i="5"/>
  <c r="E95" i="5"/>
  <c r="D95" i="5"/>
  <c r="B95" i="5"/>
  <c r="A95" i="5"/>
  <c r="J94" i="5"/>
  <c r="I94" i="5"/>
  <c r="H94" i="5"/>
  <c r="F94" i="5"/>
  <c r="U94" i="5"/>
  <c r="S94" i="5"/>
  <c r="T94" i="5"/>
  <c r="R94" i="5"/>
  <c r="E94" i="5"/>
  <c r="D94" i="5"/>
  <c r="B94" i="5"/>
  <c r="A94" i="5"/>
  <c r="J93" i="5"/>
  <c r="I93" i="5"/>
  <c r="H93" i="5"/>
  <c r="G93" i="5"/>
  <c r="F93" i="5"/>
  <c r="J92" i="5"/>
  <c r="I92" i="5"/>
  <c r="Q92" i="5"/>
  <c r="H92" i="5"/>
  <c r="G92" i="5"/>
  <c r="F92" i="5"/>
  <c r="J91" i="5"/>
  <c r="I91" i="5"/>
  <c r="H91" i="5"/>
  <c r="G91" i="5"/>
  <c r="F91" i="5"/>
  <c r="J90" i="5"/>
  <c r="I90" i="5"/>
  <c r="Q90" i="5"/>
  <c r="H90" i="5"/>
  <c r="G90" i="5"/>
  <c r="F90" i="5"/>
  <c r="U89" i="5"/>
  <c r="S89" i="5"/>
  <c r="T89" i="5"/>
  <c r="R89" i="5"/>
  <c r="E89" i="5"/>
  <c r="D89" i="5"/>
  <c r="I89" i="5"/>
  <c r="C89" i="5"/>
  <c r="B89" i="5"/>
  <c r="A89" i="5"/>
  <c r="G88" i="5"/>
  <c r="O88" i="5" s="1"/>
  <c r="I88" i="5"/>
  <c r="P88" i="5" s="1"/>
  <c r="J87" i="5"/>
  <c r="I87" i="5"/>
  <c r="H87" i="5"/>
  <c r="G87" i="5"/>
  <c r="F87" i="5"/>
  <c r="U87" i="5"/>
  <c r="S87" i="5"/>
  <c r="T87" i="5"/>
  <c r="R87" i="5"/>
  <c r="E87" i="5"/>
  <c r="D87" i="5"/>
  <c r="B87" i="5"/>
  <c r="A87" i="5"/>
  <c r="J85" i="5"/>
  <c r="I86" i="5" s="1"/>
  <c r="P86" i="5" s="1"/>
  <c r="H85" i="5"/>
  <c r="G86" i="5" s="1"/>
  <c r="O86" i="5" s="1"/>
  <c r="I85" i="5"/>
  <c r="G85" i="5"/>
  <c r="F85" i="5"/>
  <c r="U85" i="5"/>
  <c r="S85" i="5"/>
  <c r="T85" i="5"/>
  <c r="R85" i="5"/>
  <c r="E85" i="5"/>
  <c r="D85" i="5"/>
  <c r="C85" i="5"/>
  <c r="B85" i="5"/>
  <c r="A85" i="5"/>
  <c r="J83" i="5"/>
  <c r="I84" i="5" s="1"/>
  <c r="P84" i="5" s="1"/>
  <c r="H83" i="5"/>
  <c r="G84" i="5" s="1"/>
  <c r="O84" i="5" s="1"/>
  <c r="I83" i="5"/>
  <c r="G83" i="5"/>
  <c r="F83" i="5"/>
  <c r="U83" i="5"/>
  <c r="S83" i="5"/>
  <c r="T83" i="5"/>
  <c r="R83" i="5"/>
  <c r="E83" i="5"/>
  <c r="D83" i="5"/>
  <c r="C83" i="5"/>
  <c r="B83" i="5"/>
  <c r="A83" i="5"/>
  <c r="H81" i="5"/>
  <c r="G81" i="5"/>
  <c r="E81" i="5"/>
  <c r="I80" i="5"/>
  <c r="C80" i="5"/>
  <c r="E80" i="5"/>
  <c r="I79" i="5"/>
  <c r="C79" i="5"/>
  <c r="E79" i="5"/>
  <c r="J78" i="5"/>
  <c r="I78" i="5"/>
  <c r="H78" i="5"/>
  <c r="F78" i="5"/>
  <c r="U78" i="5"/>
  <c r="S78" i="5"/>
  <c r="T78" i="5"/>
  <c r="R78" i="5"/>
  <c r="E78" i="5"/>
  <c r="D78" i="5"/>
  <c r="C78" i="5"/>
  <c r="B78" i="5"/>
  <c r="A78" i="5"/>
  <c r="J77" i="5"/>
  <c r="I77" i="5"/>
  <c r="H77" i="5"/>
  <c r="G77" i="5"/>
  <c r="F77" i="5"/>
  <c r="J76" i="5"/>
  <c r="I76" i="5"/>
  <c r="Q76" i="5"/>
  <c r="H76" i="5"/>
  <c r="G76" i="5"/>
  <c r="F76" i="5"/>
  <c r="J75" i="5"/>
  <c r="I75" i="5"/>
  <c r="H75" i="5"/>
  <c r="G75" i="5"/>
  <c r="F75" i="5"/>
  <c r="J74" i="5"/>
  <c r="I74" i="5"/>
  <c r="Q74" i="5"/>
  <c r="H74" i="5"/>
  <c r="G74" i="5"/>
  <c r="F74" i="5"/>
  <c r="U73" i="5"/>
  <c r="S73" i="5"/>
  <c r="T73" i="5"/>
  <c r="R73" i="5"/>
  <c r="E73" i="5"/>
  <c r="D73" i="5"/>
  <c r="I73" i="5"/>
  <c r="C73" i="5"/>
  <c r="B73" i="5"/>
  <c r="A73" i="5"/>
  <c r="A72" i="5"/>
  <c r="A68" i="5"/>
  <c r="G66" i="5"/>
  <c r="O66" i="5" s="1"/>
  <c r="I66" i="5"/>
  <c r="P66" i="5" s="1"/>
  <c r="J65" i="5"/>
  <c r="I65" i="5"/>
  <c r="H65" i="5"/>
  <c r="G65" i="5"/>
  <c r="F65" i="5"/>
  <c r="U65" i="5"/>
  <c r="S65" i="5"/>
  <c r="T65" i="5"/>
  <c r="R65" i="5"/>
  <c r="E65" i="5"/>
  <c r="D65" i="5"/>
  <c r="B65" i="5"/>
  <c r="A65" i="5"/>
  <c r="G64" i="5"/>
  <c r="O64" i="5" s="1"/>
  <c r="I64" i="5"/>
  <c r="P64" i="5" s="1"/>
  <c r="J63" i="5"/>
  <c r="I63" i="5"/>
  <c r="H63" i="5"/>
  <c r="G63" i="5"/>
  <c r="F63" i="5"/>
  <c r="U63" i="5"/>
  <c r="S63" i="5"/>
  <c r="T63" i="5"/>
  <c r="R63" i="5"/>
  <c r="E63" i="5"/>
  <c r="D63" i="5"/>
  <c r="B63" i="5"/>
  <c r="A63" i="5"/>
  <c r="J61" i="5"/>
  <c r="I62" i="5" s="1"/>
  <c r="P62" i="5" s="1"/>
  <c r="H61" i="5"/>
  <c r="G62" i="5" s="1"/>
  <c r="O62" i="5" s="1"/>
  <c r="I61" i="5"/>
  <c r="G61" i="5"/>
  <c r="F61" i="5"/>
  <c r="U61" i="5"/>
  <c r="S61" i="5"/>
  <c r="T61" i="5"/>
  <c r="R61" i="5"/>
  <c r="E61" i="5"/>
  <c r="D61" i="5"/>
  <c r="C61" i="5"/>
  <c r="B61" i="5"/>
  <c r="A61" i="5"/>
  <c r="J59" i="5"/>
  <c r="I60" i="5" s="1"/>
  <c r="P60" i="5" s="1"/>
  <c r="H59" i="5"/>
  <c r="G60" i="5" s="1"/>
  <c r="O60" i="5" s="1"/>
  <c r="I59" i="5"/>
  <c r="G59" i="5"/>
  <c r="F59" i="5"/>
  <c r="U59" i="5"/>
  <c r="S59" i="5"/>
  <c r="T59" i="5"/>
  <c r="R59" i="5"/>
  <c r="E59" i="5"/>
  <c r="D59" i="5"/>
  <c r="C59" i="5"/>
  <c r="B59" i="5"/>
  <c r="A59" i="5"/>
  <c r="H57" i="5"/>
  <c r="G57" i="5"/>
  <c r="E57" i="5"/>
  <c r="I56" i="5"/>
  <c r="C56" i="5"/>
  <c r="E56" i="5"/>
  <c r="I55" i="5"/>
  <c r="C55" i="5"/>
  <c r="E55" i="5"/>
  <c r="J54" i="5"/>
  <c r="I54" i="5"/>
  <c r="Q54" i="5"/>
  <c r="H54" i="5"/>
  <c r="G54" i="5"/>
  <c r="F54" i="5"/>
  <c r="J53" i="5"/>
  <c r="I53" i="5"/>
  <c r="H53" i="5"/>
  <c r="G53" i="5"/>
  <c r="F53" i="5"/>
  <c r="J52" i="5"/>
  <c r="I52" i="5"/>
  <c r="Q52" i="5"/>
  <c r="H52" i="5"/>
  <c r="G52" i="5"/>
  <c r="F52" i="5"/>
  <c r="U51" i="5"/>
  <c r="J56" i="5" s="1"/>
  <c r="S51" i="5"/>
  <c r="J55" i="5" s="1"/>
  <c r="T51" i="5"/>
  <c r="H56" i="5" s="1"/>
  <c r="R51" i="5"/>
  <c r="H55" i="5" s="1"/>
  <c r="E51" i="5"/>
  <c r="D51" i="5"/>
  <c r="I51" i="5"/>
  <c r="C51" i="5"/>
  <c r="B51" i="5"/>
  <c r="A51" i="5"/>
  <c r="H49" i="5"/>
  <c r="G49" i="5"/>
  <c r="E49" i="5"/>
  <c r="I48" i="5"/>
  <c r="C48" i="5"/>
  <c r="E48" i="5"/>
  <c r="I47" i="5"/>
  <c r="C47" i="5"/>
  <c r="E47" i="5"/>
  <c r="J46" i="5"/>
  <c r="I46" i="5"/>
  <c r="Q46" i="5"/>
  <c r="H46" i="5"/>
  <c r="G46" i="5"/>
  <c r="F46" i="5"/>
  <c r="J45" i="5"/>
  <c r="I45" i="5"/>
  <c r="H45" i="5"/>
  <c r="G45" i="5"/>
  <c r="F45" i="5"/>
  <c r="J44" i="5"/>
  <c r="I44" i="5"/>
  <c r="Q44" i="5"/>
  <c r="H44" i="5"/>
  <c r="G44" i="5"/>
  <c r="F44" i="5"/>
  <c r="U43" i="5"/>
  <c r="J48" i="5" s="1"/>
  <c r="S43" i="5"/>
  <c r="J47" i="5" s="1"/>
  <c r="T43" i="5"/>
  <c r="H48" i="5" s="1"/>
  <c r="R43" i="5"/>
  <c r="H47" i="5" s="1"/>
  <c r="E43" i="5"/>
  <c r="D43" i="5"/>
  <c r="I43" i="5"/>
  <c r="C43" i="5"/>
  <c r="B43" i="5"/>
  <c r="A43" i="5"/>
  <c r="H41" i="5"/>
  <c r="G41" i="5"/>
  <c r="E41" i="5"/>
  <c r="I40" i="5"/>
  <c r="C40" i="5"/>
  <c r="E40" i="5"/>
  <c r="I39" i="5"/>
  <c r="C39" i="5"/>
  <c r="E39" i="5"/>
  <c r="J38" i="5"/>
  <c r="I38" i="5"/>
  <c r="Q38" i="5"/>
  <c r="H38" i="5"/>
  <c r="G38" i="5"/>
  <c r="F38" i="5"/>
  <c r="U37" i="5"/>
  <c r="J40" i="5" s="1"/>
  <c r="S37" i="5"/>
  <c r="J39" i="5" s="1"/>
  <c r="T37" i="5"/>
  <c r="H40" i="5" s="1"/>
  <c r="R37" i="5"/>
  <c r="H39" i="5" s="1"/>
  <c r="E37" i="5"/>
  <c r="D37" i="5"/>
  <c r="I37" i="5"/>
  <c r="C37" i="5"/>
  <c r="B37" i="5"/>
  <c r="A37" i="5"/>
  <c r="A36" i="5"/>
  <c r="A24" i="5"/>
  <c r="A21" i="5"/>
  <c r="A19" i="5"/>
  <c r="B9" i="5"/>
  <c r="H135" i="5" l="1"/>
  <c r="I58" i="5"/>
  <c r="P58" i="5" s="1"/>
  <c r="H97" i="5"/>
  <c r="H136" i="5"/>
  <c r="J79" i="5"/>
  <c r="J96" i="5"/>
  <c r="G119" i="5"/>
  <c r="O119" i="5" s="1"/>
  <c r="J97" i="5"/>
  <c r="G58" i="5"/>
  <c r="O58" i="5" s="1"/>
  <c r="H80" i="5"/>
  <c r="H96" i="5"/>
  <c r="G99" i="5" s="1"/>
  <c r="O99" i="5" s="1"/>
  <c r="J108" i="5"/>
  <c r="J136" i="5"/>
  <c r="J80" i="5"/>
  <c r="I82" i="5" s="1"/>
  <c r="P82" i="5" s="1"/>
  <c r="H108" i="5"/>
  <c r="J107" i="5"/>
  <c r="I110" i="5" s="1"/>
  <c r="P110" i="5" s="1"/>
  <c r="H30" i="5"/>
  <c r="H79" i="5"/>
  <c r="G82" i="5" s="1"/>
  <c r="O82" i="5" s="1"/>
  <c r="H107" i="5"/>
  <c r="G127" i="5"/>
  <c r="O127" i="5" s="1"/>
  <c r="J135" i="5"/>
  <c r="I138" i="5" s="1"/>
  <c r="P138" i="5" s="1"/>
  <c r="G42" i="5"/>
  <c r="O42" i="5" s="1"/>
  <c r="I127" i="5"/>
  <c r="P127" i="5" s="1"/>
  <c r="I42" i="5"/>
  <c r="P42" i="5" s="1"/>
  <c r="G50" i="5"/>
  <c r="O50" i="5" s="1"/>
  <c r="I50" i="5"/>
  <c r="P50" i="5" s="1"/>
  <c r="G110" i="5"/>
  <c r="O110" i="5" s="1"/>
  <c r="I119" i="5"/>
  <c r="P119" i="5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1" i="3"/>
  <c r="CY1" i="3"/>
  <c r="CZ1" i="3"/>
  <c r="DA1" i="3"/>
  <c r="A2" i="3"/>
  <c r="CX2" i="3"/>
  <c r="CY2" i="3"/>
  <c r="CZ2" i="3"/>
  <c r="DA2" i="3"/>
  <c r="A3" i="3"/>
  <c r="CY3" i="3"/>
  <c r="CZ3" i="3"/>
  <c r="DA3" i="3"/>
  <c r="A4" i="3"/>
  <c r="CY4" i="3"/>
  <c r="CZ4" i="3"/>
  <c r="DA4" i="3"/>
  <c r="A5" i="3"/>
  <c r="CX5" i="3"/>
  <c r="CY5" i="3"/>
  <c r="CZ5" i="3"/>
  <c r="DA5" i="3"/>
  <c r="A6" i="3"/>
  <c r="CX6" i="3"/>
  <c r="CY6" i="3"/>
  <c r="CZ6" i="3"/>
  <c r="DA6" i="3"/>
  <c r="A7" i="3"/>
  <c r="CY7" i="3"/>
  <c r="CZ7" i="3"/>
  <c r="DA7" i="3"/>
  <c r="A8" i="3"/>
  <c r="CY8" i="3"/>
  <c r="CZ8" i="3"/>
  <c r="DA8" i="3"/>
  <c r="A9" i="3"/>
  <c r="CX9" i="3"/>
  <c r="CY9" i="3"/>
  <c r="CZ9" i="3"/>
  <c r="DA9" i="3"/>
  <c r="A10" i="3"/>
  <c r="CX10" i="3"/>
  <c r="CY10" i="3"/>
  <c r="CZ10" i="3"/>
  <c r="DA10" i="3"/>
  <c r="A11" i="3"/>
  <c r="CY11" i="3"/>
  <c r="CZ11" i="3"/>
  <c r="DA11" i="3"/>
  <c r="A12" i="3"/>
  <c r="CY12" i="3"/>
  <c r="CZ12" i="3"/>
  <c r="DA12" i="3"/>
  <c r="A13" i="3"/>
  <c r="CX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X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X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X26" i="3"/>
  <c r="CY26" i="3"/>
  <c r="CZ26" i="3"/>
  <c r="DA26" i="3"/>
  <c r="A27" i="3"/>
  <c r="CX27" i="3"/>
  <c r="CY27" i="3"/>
  <c r="CZ27" i="3"/>
  <c r="DA27" i="3"/>
  <c r="A28" i="3"/>
  <c r="CX28" i="3"/>
  <c r="CY28" i="3"/>
  <c r="CZ28" i="3"/>
  <c r="DA28" i="3"/>
  <c r="A29" i="3"/>
  <c r="CX29" i="3"/>
  <c r="CY29" i="3"/>
  <c r="CZ29" i="3"/>
  <c r="DA29" i="3"/>
  <c r="A30" i="3"/>
  <c r="CX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X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X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C26" i="1"/>
  <c r="E26" i="1"/>
  <c r="F26" i="1"/>
  <c r="G26" i="1"/>
  <c r="Z26" i="1"/>
  <c r="AA26" i="1"/>
  <c r="AM26" i="1"/>
  <c r="AN26" i="1"/>
  <c r="AP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X1" i="3" s="1"/>
  <c r="AC28" i="1"/>
  <c r="AE28" i="1"/>
  <c r="AD28" i="1" s="1"/>
  <c r="CR28" i="1" s="1"/>
  <c r="Q28" i="1" s="1"/>
  <c r="AF28" i="1"/>
  <c r="CT28" i="1" s="1"/>
  <c r="S28" i="1" s="1"/>
  <c r="AG28" i="1"/>
  <c r="CU28" i="1" s="1"/>
  <c r="T28" i="1" s="1"/>
  <c r="AH28" i="1"/>
  <c r="AI28" i="1"/>
  <c r="AJ28" i="1"/>
  <c r="CS28" i="1"/>
  <c r="R28" i="1" s="1"/>
  <c r="CV28" i="1"/>
  <c r="U28" i="1" s="1"/>
  <c r="CW28" i="1"/>
  <c r="V28" i="1" s="1"/>
  <c r="CX28" i="1"/>
  <c r="W28" i="1" s="1"/>
  <c r="AJ36" i="1" s="1"/>
  <c r="FR28" i="1"/>
  <c r="GL28" i="1"/>
  <c r="GO28" i="1"/>
  <c r="GP28" i="1"/>
  <c r="GV28" i="1"/>
  <c r="GX28" i="1"/>
  <c r="C29" i="1"/>
  <c r="D29" i="1"/>
  <c r="I29" i="1"/>
  <c r="CX4" i="3" s="1"/>
  <c r="T29" i="1"/>
  <c r="W29" i="1"/>
  <c r="AC29" i="1"/>
  <c r="AD29" i="1"/>
  <c r="CR29" i="1" s="1"/>
  <c r="Q29" i="1" s="1"/>
  <c r="AE29" i="1"/>
  <c r="CS29" i="1" s="1"/>
  <c r="R29" i="1" s="1"/>
  <c r="AF29" i="1"/>
  <c r="AG29" i="1"/>
  <c r="CU29" i="1" s="1"/>
  <c r="AH29" i="1"/>
  <c r="CV29" i="1" s="1"/>
  <c r="U29" i="1" s="1"/>
  <c r="AI29" i="1"/>
  <c r="CW29" i="1" s="1"/>
  <c r="V29" i="1" s="1"/>
  <c r="AJ29" i="1"/>
  <c r="CQ29" i="1"/>
  <c r="P29" i="1" s="1"/>
  <c r="CT29" i="1"/>
  <c r="S29" i="1" s="1"/>
  <c r="CX29" i="1"/>
  <c r="FR29" i="1"/>
  <c r="GL29" i="1"/>
  <c r="GO29" i="1"/>
  <c r="CC36" i="1" s="1"/>
  <c r="CC26" i="1" s="1"/>
  <c r="GP29" i="1"/>
  <c r="GV29" i="1"/>
  <c r="GX29" i="1" s="1"/>
  <c r="C30" i="1"/>
  <c r="D30" i="1"/>
  <c r="I30" i="1"/>
  <c r="CX8" i="3" s="1"/>
  <c r="T30" i="1"/>
  <c r="AC30" i="1"/>
  <c r="AD30" i="1"/>
  <c r="AB30" i="1" s="1"/>
  <c r="AE30" i="1"/>
  <c r="CS30" i="1" s="1"/>
  <c r="R30" i="1" s="1"/>
  <c r="GK30" i="1" s="1"/>
  <c r="AF30" i="1"/>
  <c r="CT30" i="1" s="1"/>
  <c r="S30" i="1" s="1"/>
  <c r="AG30" i="1"/>
  <c r="AH30" i="1"/>
  <c r="CV30" i="1" s="1"/>
  <c r="U30" i="1" s="1"/>
  <c r="AI30" i="1"/>
  <c r="CW30" i="1" s="1"/>
  <c r="V30" i="1" s="1"/>
  <c r="AJ30" i="1"/>
  <c r="CX30" i="1" s="1"/>
  <c r="W30" i="1" s="1"/>
  <c r="CQ30" i="1"/>
  <c r="P30" i="1" s="1"/>
  <c r="CR30" i="1"/>
  <c r="Q30" i="1" s="1"/>
  <c r="CU30" i="1"/>
  <c r="CY30" i="1"/>
  <c r="X30" i="1" s="1"/>
  <c r="CZ30" i="1"/>
  <c r="Y30" i="1" s="1"/>
  <c r="FR30" i="1"/>
  <c r="GL30" i="1"/>
  <c r="GO30" i="1"/>
  <c r="GP30" i="1"/>
  <c r="GV30" i="1"/>
  <c r="GX30" i="1" s="1"/>
  <c r="O31" i="1"/>
  <c r="P31" i="1"/>
  <c r="Q31" i="1"/>
  <c r="R31" i="1"/>
  <c r="S31" i="1"/>
  <c r="T31" i="1"/>
  <c r="U31" i="1"/>
  <c r="V31" i="1"/>
  <c r="W31" i="1"/>
  <c r="X31" i="1"/>
  <c r="Y31" i="1"/>
  <c r="AB31" i="1"/>
  <c r="CP31" i="1" s="1"/>
  <c r="GM31" i="1" s="1"/>
  <c r="AC31" i="1"/>
  <c r="AD31" i="1"/>
  <c r="AE31" i="1"/>
  <c r="AF31" i="1"/>
  <c r="AG31" i="1"/>
  <c r="AH31" i="1"/>
  <c r="AI31" i="1"/>
  <c r="AJ31" i="1"/>
  <c r="FR31" i="1"/>
  <c r="BY36" i="1" s="1"/>
  <c r="AP36" i="1" s="1"/>
  <c r="F45" i="1" s="1"/>
  <c r="GK31" i="1"/>
  <c r="GL31" i="1"/>
  <c r="GN31" i="1"/>
  <c r="GO31" i="1"/>
  <c r="GP31" i="1"/>
  <c r="GV31" i="1"/>
  <c r="GX31" i="1"/>
  <c r="O32" i="1"/>
  <c r="P32" i="1"/>
  <c r="Q32" i="1"/>
  <c r="R32" i="1"/>
  <c r="GK32" i="1" s="1"/>
  <c r="S32" i="1"/>
  <c r="T32" i="1"/>
  <c r="U32" i="1"/>
  <c r="V32" i="1"/>
  <c r="W32" i="1"/>
  <c r="X32" i="1"/>
  <c r="Y32" i="1"/>
  <c r="AB32" i="1"/>
  <c r="AC32" i="1"/>
  <c r="AD32" i="1"/>
  <c r="AE32" i="1"/>
  <c r="AF32" i="1"/>
  <c r="AG32" i="1"/>
  <c r="AH32" i="1"/>
  <c r="AI32" i="1"/>
  <c r="AJ32" i="1"/>
  <c r="CP32" i="1"/>
  <c r="FR32" i="1"/>
  <c r="GL32" i="1"/>
  <c r="GO32" i="1"/>
  <c r="GP32" i="1"/>
  <c r="GV32" i="1"/>
  <c r="GX32" i="1" s="1"/>
  <c r="T33" i="1"/>
  <c r="Y33" i="1"/>
  <c r="AC33" i="1"/>
  <c r="AE33" i="1"/>
  <c r="CS33" i="1" s="1"/>
  <c r="R33" i="1" s="1"/>
  <c r="GK33" i="1" s="1"/>
  <c r="AF33" i="1"/>
  <c r="CT33" i="1" s="1"/>
  <c r="S33" i="1" s="1"/>
  <c r="CZ33" i="1" s="1"/>
  <c r="AG33" i="1"/>
  <c r="AH33" i="1"/>
  <c r="AI33" i="1"/>
  <c r="CW33" i="1" s="1"/>
  <c r="V33" i="1" s="1"/>
  <c r="AJ33" i="1"/>
  <c r="CX33" i="1" s="1"/>
  <c r="W33" i="1" s="1"/>
  <c r="CQ33" i="1"/>
  <c r="P33" i="1" s="1"/>
  <c r="CU33" i="1"/>
  <c r="CV33" i="1"/>
  <c r="U33" i="1" s="1"/>
  <c r="CY33" i="1"/>
  <c r="X33" i="1" s="1"/>
  <c r="FR33" i="1"/>
  <c r="GL33" i="1"/>
  <c r="GN33" i="1"/>
  <c r="GO33" i="1"/>
  <c r="GV33" i="1"/>
  <c r="GX33" i="1" s="1"/>
  <c r="CJ36" i="1" s="1"/>
  <c r="I34" i="1"/>
  <c r="S34" i="1"/>
  <c r="AC34" i="1"/>
  <c r="AD34" i="1"/>
  <c r="CR34" i="1" s="1"/>
  <c r="Q34" i="1" s="1"/>
  <c r="AE34" i="1"/>
  <c r="CS34" i="1" s="1"/>
  <c r="R34" i="1" s="1"/>
  <c r="AF34" i="1"/>
  <c r="AG34" i="1"/>
  <c r="AH34" i="1"/>
  <c r="CV34" i="1" s="1"/>
  <c r="U34" i="1" s="1"/>
  <c r="AI34" i="1"/>
  <c r="CW34" i="1" s="1"/>
  <c r="V34" i="1" s="1"/>
  <c r="AJ34" i="1"/>
  <c r="CT34" i="1"/>
  <c r="CU34" i="1"/>
  <c r="T34" i="1" s="1"/>
  <c r="CX34" i="1"/>
  <c r="W34" i="1" s="1"/>
  <c r="FR34" i="1"/>
  <c r="GK34" i="1"/>
  <c r="GL34" i="1"/>
  <c r="GN34" i="1"/>
  <c r="GO34" i="1"/>
  <c r="GV34" i="1"/>
  <c r="GX34" i="1" s="1"/>
  <c r="B36" i="1"/>
  <c r="C36" i="1"/>
  <c r="D36" i="1"/>
  <c r="D26" i="1" s="1"/>
  <c r="F36" i="1"/>
  <c r="G36" i="1"/>
  <c r="AT36" i="1"/>
  <c r="BC36" i="1"/>
  <c r="BX36" i="1"/>
  <c r="CK36" i="1"/>
  <c r="CK26" i="1" s="1"/>
  <c r="CL36" i="1"/>
  <c r="CL26" i="1" s="1"/>
  <c r="D65" i="1"/>
  <c r="E67" i="1"/>
  <c r="G67" i="1"/>
  <c r="Z67" i="1"/>
  <c r="AA67" i="1"/>
  <c r="AM67" i="1"/>
  <c r="AN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BS67" i="1"/>
  <c r="BT67" i="1"/>
  <c r="BU67" i="1"/>
  <c r="BV67" i="1"/>
  <c r="BW67" i="1"/>
  <c r="CM67" i="1"/>
  <c r="CN67" i="1"/>
  <c r="CO67" i="1"/>
  <c r="CP67" i="1"/>
  <c r="CQ67" i="1"/>
  <c r="CR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EC67" i="1"/>
  <c r="ED67" i="1"/>
  <c r="EE67" i="1"/>
  <c r="EF67" i="1"/>
  <c r="EG67" i="1"/>
  <c r="EH67" i="1"/>
  <c r="EI67" i="1"/>
  <c r="EJ67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Y67" i="1"/>
  <c r="EZ67" i="1"/>
  <c r="FA67" i="1"/>
  <c r="FB67" i="1"/>
  <c r="FC67" i="1"/>
  <c r="FD67" i="1"/>
  <c r="FE67" i="1"/>
  <c r="FF67" i="1"/>
  <c r="FG67" i="1"/>
  <c r="FH67" i="1"/>
  <c r="FI67" i="1"/>
  <c r="FJ67" i="1"/>
  <c r="FK67" i="1"/>
  <c r="FL67" i="1"/>
  <c r="FM67" i="1"/>
  <c r="FN67" i="1"/>
  <c r="FO67" i="1"/>
  <c r="FP67" i="1"/>
  <c r="FQ67" i="1"/>
  <c r="FR67" i="1"/>
  <c r="FS67" i="1"/>
  <c r="FT67" i="1"/>
  <c r="FU67" i="1"/>
  <c r="FV67" i="1"/>
  <c r="FW67" i="1"/>
  <c r="FX67" i="1"/>
  <c r="FY67" i="1"/>
  <c r="FZ67" i="1"/>
  <c r="GA67" i="1"/>
  <c r="GB67" i="1"/>
  <c r="GC67" i="1"/>
  <c r="GD67" i="1"/>
  <c r="GE67" i="1"/>
  <c r="GF67" i="1"/>
  <c r="GG67" i="1"/>
  <c r="GH67" i="1"/>
  <c r="GI67" i="1"/>
  <c r="GJ67" i="1"/>
  <c r="GK67" i="1"/>
  <c r="GL67" i="1"/>
  <c r="GM67" i="1"/>
  <c r="GN67" i="1"/>
  <c r="GO67" i="1"/>
  <c r="GP67" i="1"/>
  <c r="GQ67" i="1"/>
  <c r="GR67" i="1"/>
  <c r="GS67" i="1"/>
  <c r="GT67" i="1"/>
  <c r="GU67" i="1"/>
  <c r="GV67" i="1"/>
  <c r="GW67" i="1"/>
  <c r="GX67" i="1"/>
  <c r="C69" i="1"/>
  <c r="D69" i="1"/>
  <c r="I69" i="1"/>
  <c r="S69" i="1"/>
  <c r="T69" i="1"/>
  <c r="AC69" i="1"/>
  <c r="AD69" i="1"/>
  <c r="CR69" i="1" s="1"/>
  <c r="Q69" i="1" s="1"/>
  <c r="AE69" i="1"/>
  <c r="AF69" i="1"/>
  <c r="AG69" i="1"/>
  <c r="AH69" i="1"/>
  <c r="CV69" i="1" s="1"/>
  <c r="U69" i="1" s="1"/>
  <c r="AI69" i="1"/>
  <c r="AJ69" i="1"/>
  <c r="CQ69" i="1"/>
  <c r="P69" i="1" s="1"/>
  <c r="CS69" i="1"/>
  <c r="R69" i="1" s="1"/>
  <c r="CT69" i="1"/>
  <c r="CU69" i="1"/>
  <c r="CW69" i="1"/>
  <c r="V69" i="1" s="1"/>
  <c r="CX69" i="1"/>
  <c r="W69" i="1" s="1"/>
  <c r="FR69" i="1"/>
  <c r="GL69" i="1"/>
  <c r="GO69" i="1"/>
  <c r="GP69" i="1"/>
  <c r="GV69" i="1"/>
  <c r="GX69" i="1"/>
  <c r="I70" i="1"/>
  <c r="AC70" i="1"/>
  <c r="AE70" i="1"/>
  <c r="AD70" i="1" s="1"/>
  <c r="CR70" i="1" s="1"/>
  <c r="Q70" i="1" s="1"/>
  <c r="AF70" i="1"/>
  <c r="CT70" i="1" s="1"/>
  <c r="S70" i="1" s="1"/>
  <c r="AG70" i="1"/>
  <c r="CU70" i="1" s="1"/>
  <c r="T70" i="1" s="1"/>
  <c r="AH70" i="1"/>
  <c r="AI70" i="1"/>
  <c r="AJ70" i="1"/>
  <c r="CS70" i="1"/>
  <c r="R70" i="1" s="1"/>
  <c r="GK70" i="1" s="1"/>
  <c r="CV70" i="1"/>
  <c r="U70" i="1" s="1"/>
  <c r="CW70" i="1"/>
  <c r="V70" i="1" s="1"/>
  <c r="CX70" i="1"/>
  <c r="W70" i="1" s="1"/>
  <c r="FR70" i="1"/>
  <c r="GL70" i="1"/>
  <c r="GO70" i="1"/>
  <c r="GP70" i="1"/>
  <c r="GV70" i="1"/>
  <c r="GX70" i="1"/>
  <c r="I71" i="1"/>
  <c r="GX71" i="1" s="1"/>
  <c r="O71" i="1"/>
  <c r="P71" i="1"/>
  <c r="Q71" i="1"/>
  <c r="R71" i="1"/>
  <c r="S71" i="1"/>
  <c r="T71" i="1"/>
  <c r="U71" i="1"/>
  <c r="V71" i="1"/>
  <c r="W71" i="1"/>
  <c r="X71" i="1"/>
  <c r="Y71" i="1"/>
  <c r="AB71" i="1"/>
  <c r="CP71" i="1" s="1"/>
  <c r="AC71" i="1"/>
  <c r="AD71" i="1"/>
  <c r="AE71" i="1"/>
  <c r="AF71" i="1"/>
  <c r="AG71" i="1"/>
  <c r="AH71" i="1"/>
  <c r="AI71" i="1"/>
  <c r="AJ71" i="1"/>
  <c r="FR71" i="1"/>
  <c r="GK71" i="1"/>
  <c r="GL71" i="1"/>
  <c r="GO71" i="1"/>
  <c r="GP71" i="1"/>
  <c r="GV71" i="1"/>
  <c r="I72" i="1"/>
  <c r="O72" i="1"/>
  <c r="P72" i="1"/>
  <c r="Q72" i="1"/>
  <c r="R72" i="1"/>
  <c r="GK72" i="1" s="1"/>
  <c r="S72" i="1"/>
  <c r="T72" i="1"/>
  <c r="U72" i="1"/>
  <c r="V72" i="1"/>
  <c r="W72" i="1"/>
  <c r="X72" i="1"/>
  <c r="Y72" i="1"/>
  <c r="AB72" i="1"/>
  <c r="CP72" i="1" s="1"/>
  <c r="GN72" i="1" s="1"/>
  <c r="AC72" i="1"/>
  <c r="AD72" i="1"/>
  <c r="AE72" i="1"/>
  <c r="AF72" i="1"/>
  <c r="AG72" i="1"/>
  <c r="AH72" i="1"/>
  <c r="AI72" i="1"/>
  <c r="AJ72" i="1"/>
  <c r="FR72" i="1"/>
  <c r="GL72" i="1"/>
  <c r="GM72" i="1"/>
  <c r="GO72" i="1"/>
  <c r="GP72" i="1"/>
  <c r="GV72" i="1"/>
  <c r="GX72" i="1" s="1"/>
  <c r="I73" i="1"/>
  <c r="S73" i="1"/>
  <c r="AC73" i="1"/>
  <c r="AD73" i="1"/>
  <c r="CR73" i="1" s="1"/>
  <c r="Q73" i="1" s="1"/>
  <c r="AE73" i="1"/>
  <c r="AF73" i="1"/>
  <c r="AG73" i="1"/>
  <c r="AH73" i="1"/>
  <c r="CV73" i="1" s="1"/>
  <c r="U73" i="1" s="1"/>
  <c r="AI73" i="1"/>
  <c r="AJ73" i="1"/>
  <c r="CQ73" i="1"/>
  <c r="P73" i="1" s="1"/>
  <c r="CP73" i="1" s="1"/>
  <c r="O73" i="1" s="1"/>
  <c r="CS73" i="1"/>
  <c r="R73" i="1" s="1"/>
  <c r="CT73" i="1"/>
  <c r="CU73" i="1"/>
  <c r="T73" i="1" s="1"/>
  <c r="CW73" i="1"/>
  <c r="V73" i="1" s="1"/>
  <c r="CX73" i="1"/>
  <c r="W73" i="1" s="1"/>
  <c r="FR73" i="1"/>
  <c r="GK73" i="1"/>
  <c r="GL73" i="1"/>
  <c r="GN73" i="1"/>
  <c r="GO73" i="1"/>
  <c r="GV73" i="1"/>
  <c r="GX73" i="1"/>
  <c r="C74" i="1"/>
  <c r="D74" i="1"/>
  <c r="I74" i="1"/>
  <c r="CX17" i="3" s="1"/>
  <c r="T74" i="1"/>
  <c r="Y74" i="1"/>
  <c r="AC74" i="1"/>
  <c r="AE74" i="1"/>
  <c r="CS74" i="1" s="1"/>
  <c r="R74" i="1" s="1"/>
  <c r="GK74" i="1" s="1"/>
  <c r="AF74" i="1"/>
  <c r="AG74" i="1"/>
  <c r="AH74" i="1"/>
  <c r="AI74" i="1"/>
  <c r="CW74" i="1" s="1"/>
  <c r="V74" i="1" s="1"/>
  <c r="AJ74" i="1"/>
  <c r="CQ74" i="1"/>
  <c r="P74" i="1" s="1"/>
  <c r="CT74" i="1"/>
  <c r="S74" i="1" s="1"/>
  <c r="CU74" i="1"/>
  <c r="CV74" i="1"/>
  <c r="U74" i="1" s="1"/>
  <c r="CX74" i="1"/>
  <c r="W74" i="1" s="1"/>
  <c r="CY74" i="1"/>
  <c r="X74" i="1" s="1"/>
  <c r="CZ74" i="1"/>
  <c r="FR74" i="1"/>
  <c r="GL74" i="1"/>
  <c r="GO74" i="1"/>
  <c r="GP74" i="1"/>
  <c r="GV74" i="1"/>
  <c r="GX74" i="1" s="1"/>
  <c r="I75" i="1"/>
  <c r="GX75" i="1" s="1"/>
  <c r="T75" i="1"/>
  <c r="X75" i="1"/>
  <c r="AC75" i="1"/>
  <c r="AD75" i="1"/>
  <c r="CR75" i="1" s="1"/>
  <c r="AE75" i="1"/>
  <c r="AF75" i="1"/>
  <c r="AB75" i="1" s="1"/>
  <c r="AG75" i="1"/>
  <c r="AH75" i="1"/>
  <c r="CV75" i="1" s="1"/>
  <c r="AI75" i="1"/>
  <c r="AJ75" i="1"/>
  <c r="CQ75" i="1"/>
  <c r="CS75" i="1"/>
  <c r="R75" i="1" s="1"/>
  <c r="GK75" i="1" s="1"/>
  <c r="CT75" i="1"/>
  <c r="S75" i="1" s="1"/>
  <c r="CZ75" i="1" s="1"/>
  <c r="Y75" i="1" s="1"/>
  <c r="CU75" i="1"/>
  <c r="CW75" i="1"/>
  <c r="CX75" i="1"/>
  <c r="W75" i="1" s="1"/>
  <c r="CY75" i="1"/>
  <c r="FR75" i="1"/>
  <c r="GL75" i="1"/>
  <c r="BZ86" i="1" s="1"/>
  <c r="GO75" i="1"/>
  <c r="GP75" i="1"/>
  <c r="GV75" i="1"/>
  <c r="I76" i="1"/>
  <c r="V76" i="1" s="1"/>
  <c r="AC76" i="1"/>
  <c r="AE76" i="1"/>
  <c r="AD76" i="1" s="1"/>
  <c r="CR76" i="1" s="1"/>
  <c r="AF76" i="1"/>
  <c r="CT76" i="1" s="1"/>
  <c r="S76" i="1" s="1"/>
  <c r="AG76" i="1"/>
  <c r="CU76" i="1" s="1"/>
  <c r="AH76" i="1"/>
  <c r="AI76" i="1"/>
  <c r="AJ76" i="1"/>
  <c r="CS76" i="1"/>
  <c r="R76" i="1" s="1"/>
  <c r="GK76" i="1" s="1"/>
  <c r="CV76" i="1"/>
  <c r="CW76" i="1"/>
  <c r="CX76" i="1"/>
  <c r="W76" i="1" s="1"/>
  <c r="FR76" i="1"/>
  <c r="GL76" i="1"/>
  <c r="GO76" i="1"/>
  <c r="GP76" i="1"/>
  <c r="GV76" i="1"/>
  <c r="GX76" i="1"/>
  <c r="C77" i="1"/>
  <c r="D77" i="1"/>
  <c r="T77" i="1"/>
  <c r="AC77" i="1"/>
  <c r="AD77" i="1"/>
  <c r="CR77" i="1" s="1"/>
  <c r="Q77" i="1" s="1"/>
  <c r="AE77" i="1"/>
  <c r="CS77" i="1" s="1"/>
  <c r="R77" i="1" s="1"/>
  <c r="GK77" i="1" s="1"/>
  <c r="AF77" i="1"/>
  <c r="AG77" i="1"/>
  <c r="AH77" i="1"/>
  <c r="CV77" i="1" s="1"/>
  <c r="U77" i="1" s="1"/>
  <c r="AI77" i="1"/>
  <c r="CW77" i="1" s="1"/>
  <c r="V77" i="1" s="1"/>
  <c r="AJ77" i="1"/>
  <c r="CQ77" i="1"/>
  <c r="P77" i="1" s="1"/>
  <c r="CT77" i="1"/>
  <c r="S77" i="1" s="1"/>
  <c r="CU77" i="1"/>
  <c r="CX77" i="1"/>
  <c r="W77" i="1" s="1"/>
  <c r="CY77" i="1"/>
  <c r="X77" i="1" s="1"/>
  <c r="CZ77" i="1"/>
  <c r="Y77" i="1" s="1"/>
  <c r="FR77" i="1"/>
  <c r="GL77" i="1"/>
  <c r="GO77" i="1"/>
  <c r="GP77" i="1"/>
  <c r="GV77" i="1"/>
  <c r="GX77" i="1" s="1"/>
  <c r="I78" i="1"/>
  <c r="W78" i="1"/>
  <c r="AC78" i="1"/>
  <c r="AD78" i="1"/>
  <c r="CR78" i="1" s="1"/>
  <c r="Q78" i="1" s="1"/>
  <c r="AE78" i="1"/>
  <c r="AF78" i="1"/>
  <c r="AG78" i="1"/>
  <c r="CU78" i="1" s="1"/>
  <c r="T78" i="1" s="1"/>
  <c r="AH78" i="1"/>
  <c r="CV78" i="1" s="1"/>
  <c r="U78" i="1" s="1"/>
  <c r="AI78" i="1"/>
  <c r="AJ78" i="1"/>
  <c r="CS78" i="1"/>
  <c r="R78" i="1" s="1"/>
  <c r="GK78" i="1" s="1"/>
  <c r="CT78" i="1"/>
  <c r="S78" i="1" s="1"/>
  <c r="CW78" i="1"/>
  <c r="V78" i="1" s="1"/>
  <c r="CX78" i="1"/>
  <c r="FR78" i="1"/>
  <c r="GL78" i="1"/>
  <c r="GO78" i="1"/>
  <c r="GP78" i="1"/>
  <c r="GV78" i="1"/>
  <c r="GX78" i="1"/>
  <c r="I79" i="1"/>
  <c r="V79" i="1" s="1"/>
  <c r="AC79" i="1"/>
  <c r="AE79" i="1"/>
  <c r="AD79" i="1" s="1"/>
  <c r="CR79" i="1" s="1"/>
  <c r="AF79" i="1"/>
  <c r="AG79" i="1"/>
  <c r="CU79" i="1" s="1"/>
  <c r="AH79" i="1"/>
  <c r="AI79" i="1"/>
  <c r="AJ79" i="1"/>
  <c r="CS79" i="1"/>
  <c r="R79" i="1" s="1"/>
  <c r="GK79" i="1" s="1"/>
  <c r="CT79" i="1"/>
  <c r="S79" i="1" s="1"/>
  <c r="CV79" i="1"/>
  <c r="CW79" i="1"/>
  <c r="CX79" i="1"/>
  <c r="W79" i="1" s="1"/>
  <c r="FR79" i="1"/>
  <c r="GL79" i="1"/>
  <c r="GO79" i="1"/>
  <c r="GP79" i="1"/>
  <c r="GV79" i="1"/>
  <c r="GX79" i="1"/>
  <c r="C80" i="1"/>
  <c r="D80" i="1"/>
  <c r="I80" i="1"/>
  <c r="W80" i="1"/>
  <c r="AC80" i="1"/>
  <c r="AD80" i="1"/>
  <c r="CR80" i="1" s="1"/>
  <c r="Q80" i="1" s="1"/>
  <c r="AE80" i="1"/>
  <c r="AF80" i="1"/>
  <c r="AG80" i="1"/>
  <c r="CU80" i="1" s="1"/>
  <c r="T80" i="1" s="1"/>
  <c r="AH80" i="1"/>
  <c r="CV80" i="1" s="1"/>
  <c r="U80" i="1" s="1"/>
  <c r="AI80" i="1"/>
  <c r="AJ80" i="1"/>
  <c r="CS80" i="1"/>
  <c r="R80" i="1" s="1"/>
  <c r="GK80" i="1" s="1"/>
  <c r="CT80" i="1"/>
  <c r="S80" i="1" s="1"/>
  <c r="CW80" i="1"/>
  <c r="V80" i="1" s="1"/>
  <c r="CX80" i="1"/>
  <c r="FR80" i="1"/>
  <c r="GL80" i="1"/>
  <c r="GO80" i="1"/>
  <c r="GP80" i="1"/>
  <c r="GV80" i="1"/>
  <c r="GX80" i="1"/>
  <c r="C81" i="1"/>
  <c r="D81" i="1"/>
  <c r="I81" i="1"/>
  <c r="AC81" i="1"/>
  <c r="AE81" i="1"/>
  <c r="AF81" i="1"/>
  <c r="AG81" i="1"/>
  <c r="AH81" i="1"/>
  <c r="AI81" i="1"/>
  <c r="CW81" i="1" s="1"/>
  <c r="V81" i="1" s="1"/>
  <c r="AJ81" i="1"/>
  <c r="CQ81" i="1"/>
  <c r="P81" i="1" s="1"/>
  <c r="CT81" i="1"/>
  <c r="S81" i="1" s="1"/>
  <c r="CU81" i="1"/>
  <c r="T81" i="1" s="1"/>
  <c r="CV81" i="1"/>
  <c r="U81" i="1" s="1"/>
  <c r="CX81" i="1"/>
  <c r="W81" i="1" s="1"/>
  <c r="FR81" i="1"/>
  <c r="GL81" i="1"/>
  <c r="GO81" i="1"/>
  <c r="GP81" i="1"/>
  <c r="GV81" i="1"/>
  <c r="GX81" i="1" s="1"/>
  <c r="C82" i="1"/>
  <c r="D82" i="1"/>
  <c r="I82" i="1"/>
  <c r="R82" i="1"/>
  <c r="GK82" i="1" s="1"/>
  <c r="AB82" i="1"/>
  <c r="AC82" i="1"/>
  <c r="AE82" i="1"/>
  <c r="AD82" i="1" s="1"/>
  <c r="AF82" i="1"/>
  <c r="CT82" i="1" s="1"/>
  <c r="AG82" i="1"/>
  <c r="AH82" i="1"/>
  <c r="AI82" i="1"/>
  <c r="AJ82" i="1"/>
  <c r="CX82" i="1" s="1"/>
  <c r="CQ82" i="1"/>
  <c r="P82" i="1" s="1"/>
  <c r="CR82" i="1"/>
  <c r="Q82" i="1" s="1"/>
  <c r="CS82" i="1"/>
  <c r="CU82" i="1"/>
  <c r="CV82" i="1"/>
  <c r="U82" i="1" s="1"/>
  <c r="CW82" i="1"/>
  <c r="V82" i="1" s="1"/>
  <c r="FR82" i="1"/>
  <c r="GL82" i="1"/>
  <c r="GO82" i="1"/>
  <c r="GP82" i="1"/>
  <c r="GV82" i="1"/>
  <c r="GX82" i="1" s="1"/>
  <c r="AC83" i="1"/>
  <c r="AD83" i="1"/>
  <c r="AE83" i="1"/>
  <c r="CS83" i="1" s="1"/>
  <c r="AF83" i="1"/>
  <c r="AG83" i="1"/>
  <c r="AH83" i="1"/>
  <c r="CV83" i="1" s="1"/>
  <c r="AI83" i="1"/>
  <c r="CW83" i="1" s="1"/>
  <c r="AJ83" i="1"/>
  <c r="CQ83" i="1"/>
  <c r="CR83" i="1"/>
  <c r="CT83" i="1"/>
  <c r="CU83" i="1"/>
  <c r="CX83" i="1"/>
  <c r="FR83" i="1"/>
  <c r="GL83" i="1"/>
  <c r="GO83" i="1"/>
  <c r="GP83" i="1"/>
  <c r="GV83" i="1"/>
  <c r="AC84" i="1"/>
  <c r="AD84" i="1"/>
  <c r="CR84" i="1" s="1"/>
  <c r="AE84" i="1"/>
  <c r="AF84" i="1"/>
  <c r="AG84" i="1"/>
  <c r="CU84" i="1" s="1"/>
  <c r="AH84" i="1"/>
  <c r="CV84" i="1" s="1"/>
  <c r="AI84" i="1"/>
  <c r="AJ84" i="1"/>
  <c r="CQ84" i="1"/>
  <c r="CS84" i="1"/>
  <c r="CT84" i="1"/>
  <c r="CW84" i="1"/>
  <c r="CX84" i="1"/>
  <c r="FR84" i="1"/>
  <c r="GL84" i="1"/>
  <c r="GO84" i="1"/>
  <c r="GP84" i="1"/>
  <c r="GV84" i="1"/>
  <c r="B86" i="1"/>
  <c r="B67" i="1" s="1"/>
  <c r="C86" i="1"/>
  <c r="C67" i="1" s="1"/>
  <c r="D86" i="1"/>
  <c r="D67" i="1" s="1"/>
  <c r="F86" i="1"/>
  <c r="F67" i="1" s="1"/>
  <c r="G86" i="1"/>
  <c r="AO86" i="1"/>
  <c r="AO67" i="1" s="1"/>
  <c r="BB86" i="1"/>
  <c r="BX86" i="1"/>
  <c r="BX67" i="1" s="1"/>
  <c r="CK86" i="1"/>
  <c r="CK67" i="1" s="1"/>
  <c r="CL86" i="1"/>
  <c r="F90" i="1"/>
  <c r="B115" i="1"/>
  <c r="B22" i="1" s="1"/>
  <c r="C115" i="1"/>
  <c r="C22" i="1" s="1"/>
  <c r="D115" i="1"/>
  <c r="D22" i="1" s="1"/>
  <c r="F115" i="1"/>
  <c r="F22" i="1" s="1"/>
  <c r="G115" i="1"/>
  <c r="G22" i="1" s="1"/>
  <c r="B144" i="1"/>
  <c r="B18" i="1" s="1"/>
  <c r="C144" i="1"/>
  <c r="C18" i="1" s="1"/>
  <c r="D144" i="1"/>
  <c r="D18" i="1" s="1"/>
  <c r="F144" i="1"/>
  <c r="F18" i="1" s="1"/>
  <c r="G144" i="1"/>
  <c r="G138" i="5" l="1"/>
  <c r="O138" i="5" s="1"/>
  <c r="H28" i="5" s="1"/>
  <c r="G68" i="5"/>
  <c r="I99" i="5"/>
  <c r="P99" i="5" s="1"/>
  <c r="I140" i="5" s="1"/>
  <c r="I68" i="5"/>
  <c r="G142" i="5"/>
  <c r="G18" i="1"/>
  <c r="T84" i="1"/>
  <c r="CY79" i="1"/>
  <c r="X79" i="1" s="1"/>
  <c r="CZ79" i="1"/>
  <c r="Y79" i="1" s="1"/>
  <c r="CZ80" i="1"/>
  <c r="Y80" i="1" s="1"/>
  <c r="CY80" i="1"/>
  <c r="X80" i="1" s="1"/>
  <c r="CG86" i="1"/>
  <c r="BZ67" i="1"/>
  <c r="AQ86" i="1"/>
  <c r="CZ78" i="1"/>
  <c r="Y78" i="1" s="1"/>
  <c r="CY78" i="1"/>
  <c r="X78" i="1" s="1"/>
  <c r="CY76" i="1"/>
  <c r="X76" i="1" s="1"/>
  <c r="CZ76" i="1"/>
  <c r="Y76" i="1" s="1"/>
  <c r="CL67" i="1"/>
  <c r="BC86" i="1"/>
  <c r="BB67" i="1"/>
  <c r="F99" i="1"/>
  <c r="CQ70" i="1"/>
  <c r="P70" i="1" s="1"/>
  <c r="AB70" i="1"/>
  <c r="AT26" i="1"/>
  <c r="F54" i="1"/>
  <c r="V84" i="1"/>
  <c r="U84" i="1"/>
  <c r="CP77" i="1"/>
  <c r="O77" i="1" s="1"/>
  <c r="GK69" i="1"/>
  <c r="CP30" i="1"/>
  <c r="O30" i="1" s="1"/>
  <c r="AB84" i="1"/>
  <c r="CS81" i="1"/>
  <c r="R81" i="1" s="1"/>
  <c r="AD81" i="1"/>
  <c r="CR81" i="1" s="1"/>
  <c r="Q81" i="1" s="1"/>
  <c r="CP81" i="1" s="1"/>
  <c r="O81" i="1" s="1"/>
  <c r="AB78" i="1"/>
  <c r="CQ78" i="1"/>
  <c r="P78" i="1" s="1"/>
  <c r="CP78" i="1" s="1"/>
  <c r="O78" i="1" s="1"/>
  <c r="U76" i="1"/>
  <c r="AB81" i="1"/>
  <c r="U79" i="1"/>
  <c r="Q79" i="1"/>
  <c r="BY86" i="1"/>
  <c r="CQ76" i="1"/>
  <c r="P76" i="1" s="1"/>
  <c r="AB76" i="1"/>
  <c r="AB74" i="1"/>
  <c r="AB73" i="1"/>
  <c r="GK29" i="1"/>
  <c r="CY29" i="1"/>
  <c r="X29" i="1" s="1"/>
  <c r="CQ28" i="1"/>
  <c r="P28" i="1" s="1"/>
  <c r="AB28" i="1"/>
  <c r="AB80" i="1"/>
  <c r="CQ80" i="1"/>
  <c r="P80" i="1" s="1"/>
  <c r="CP80" i="1" s="1"/>
  <c r="O80" i="1" s="1"/>
  <c r="CQ79" i="1"/>
  <c r="P79" i="1" s="1"/>
  <c r="AB79" i="1"/>
  <c r="AE36" i="1"/>
  <c r="GK28" i="1"/>
  <c r="CX44" i="3"/>
  <c r="CX48" i="3"/>
  <c r="CX43" i="3"/>
  <c r="CX47" i="3"/>
  <c r="CX42" i="3"/>
  <c r="CX50" i="3"/>
  <c r="CX45" i="3"/>
  <c r="CX41" i="3"/>
  <c r="I83" i="1"/>
  <c r="T83" i="1" s="1"/>
  <c r="CX46" i="3"/>
  <c r="I84" i="1"/>
  <c r="Q84" i="1" s="1"/>
  <c r="CX49" i="3"/>
  <c r="AB77" i="1"/>
  <c r="AB83" i="1"/>
  <c r="Q76" i="1"/>
  <c r="CY70" i="1"/>
  <c r="X70" i="1" s="1"/>
  <c r="CZ70" i="1"/>
  <c r="Y70" i="1" s="1"/>
  <c r="CJ26" i="1"/>
  <c r="BA36" i="1"/>
  <c r="P75" i="1"/>
  <c r="R84" i="1"/>
  <c r="GK84" i="1" s="1"/>
  <c r="V83" i="1"/>
  <c r="T82" i="1"/>
  <c r="W82" i="1"/>
  <c r="S82" i="1"/>
  <c r="T79" i="1"/>
  <c r="T76" i="1"/>
  <c r="CZ73" i="1"/>
  <c r="Y73" i="1" s="1"/>
  <c r="CY73" i="1"/>
  <c r="X73" i="1" s="1"/>
  <c r="GM73" i="1" s="1"/>
  <c r="BC26" i="1"/>
  <c r="F52" i="1"/>
  <c r="CZ34" i="1"/>
  <c r="Y34" i="1" s="1"/>
  <c r="CY34" i="1"/>
  <c r="X34" i="1" s="1"/>
  <c r="CZ28" i="1"/>
  <c r="Y28" i="1" s="1"/>
  <c r="CY28" i="1"/>
  <c r="X28" i="1" s="1"/>
  <c r="AK36" i="1" s="1"/>
  <c r="AF36" i="1"/>
  <c r="V75" i="1"/>
  <c r="CC86" i="1"/>
  <c r="AI86" i="1"/>
  <c r="CP69" i="1"/>
  <c r="O69" i="1" s="1"/>
  <c r="BX26" i="1"/>
  <c r="AO36" i="1"/>
  <c r="CG36" i="1"/>
  <c r="BZ36" i="1"/>
  <c r="AJ26" i="1"/>
  <c r="W36" i="1"/>
  <c r="AG36" i="1"/>
  <c r="CX32" i="3"/>
  <c r="CX36" i="3"/>
  <c r="CX31" i="3"/>
  <c r="CX35" i="3"/>
  <c r="CX34" i="3"/>
  <c r="CX37" i="3"/>
  <c r="U75" i="1"/>
  <c r="Q75" i="1"/>
  <c r="AB69" i="1"/>
  <c r="CZ69" i="1"/>
  <c r="Y69" i="1" s="1"/>
  <c r="GN32" i="1"/>
  <c r="GM32" i="1"/>
  <c r="CZ29" i="1"/>
  <c r="Y29" i="1" s="1"/>
  <c r="AI36" i="1"/>
  <c r="BY26" i="1"/>
  <c r="CX40" i="3"/>
  <c r="CX39" i="3"/>
  <c r="AD74" i="1"/>
  <c r="CR74" i="1" s="1"/>
  <c r="Q74" i="1" s="1"/>
  <c r="CP74" i="1" s="1"/>
  <c r="O74" i="1" s="1"/>
  <c r="GM71" i="1"/>
  <c r="GN71" i="1"/>
  <c r="CY69" i="1"/>
  <c r="X69" i="1" s="1"/>
  <c r="CI36" i="1"/>
  <c r="AB34" i="1"/>
  <c r="CQ34" i="1"/>
  <c r="P34" i="1" s="1"/>
  <c r="CP34" i="1" s="1"/>
  <c r="O34" i="1" s="1"/>
  <c r="CP29" i="1"/>
  <c r="O29" i="1" s="1"/>
  <c r="CX12" i="3"/>
  <c r="CX11" i="3"/>
  <c r="CX15" i="3"/>
  <c r="BB36" i="1"/>
  <c r="AB29" i="1"/>
  <c r="AH36" i="1"/>
  <c r="CX25" i="3"/>
  <c r="CX16" i="3"/>
  <c r="CX20" i="3"/>
  <c r="CX24" i="3"/>
  <c r="CX19" i="3"/>
  <c r="CX23" i="3"/>
  <c r="AD33" i="1"/>
  <c r="CX22" i="3"/>
  <c r="CX14" i="3"/>
  <c r="CX7" i="3"/>
  <c r="CX3" i="3"/>
  <c r="G140" i="5" l="1"/>
  <c r="I142" i="5"/>
  <c r="AD86" i="1"/>
  <c r="GN74" i="1"/>
  <c r="GM74" i="1"/>
  <c r="T36" i="1"/>
  <c r="AG26" i="1"/>
  <c r="AX36" i="1"/>
  <c r="CG26" i="1"/>
  <c r="AI67" i="1"/>
  <c r="V86" i="1"/>
  <c r="CY82" i="1"/>
  <c r="X82" i="1" s="1"/>
  <c r="CZ82" i="1"/>
  <c r="Y82" i="1" s="1"/>
  <c r="GM80" i="1"/>
  <c r="GN80" i="1"/>
  <c r="GK81" i="1"/>
  <c r="CZ81" i="1"/>
  <c r="Y81" i="1" s="1"/>
  <c r="CY81" i="1"/>
  <c r="X81" i="1" s="1"/>
  <c r="GN81" i="1" s="1"/>
  <c r="GP73" i="1"/>
  <c r="CD86" i="1" s="1"/>
  <c r="AB33" i="1"/>
  <c r="CR33" i="1"/>
  <c r="Q33" i="1" s="1"/>
  <c r="CI26" i="1"/>
  <c r="AZ36" i="1"/>
  <c r="AI26" i="1"/>
  <c r="V36" i="1"/>
  <c r="W26" i="1"/>
  <c r="F60" i="1"/>
  <c r="F40" i="1"/>
  <c r="AO26" i="1"/>
  <c r="AO115" i="1"/>
  <c r="CC67" i="1"/>
  <c r="AT86" i="1"/>
  <c r="AE26" i="1"/>
  <c r="R36" i="1"/>
  <c r="P83" i="1"/>
  <c r="BB26" i="1"/>
  <c r="F49" i="1"/>
  <c r="BB115" i="1"/>
  <c r="GN29" i="1"/>
  <c r="GM29" i="1"/>
  <c r="GM34" i="1"/>
  <c r="GP34" i="1"/>
  <c r="AQ36" i="1"/>
  <c r="BZ26" i="1"/>
  <c r="GM69" i="1"/>
  <c r="GN69" i="1"/>
  <c r="AF26" i="1"/>
  <c r="S36" i="1"/>
  <c r="R83" i="1"/>
  <c r="GK83" i="1" s="1"/>
  <c r="CP75" i="1"/>
  <c r="O75" i="1" s="1"/>
  <c r="CP79" i="1"/>
  <c r="O79" i="1" s="1"/>
  <c r="BY67" i="1"/>
  <c r="CI86" i="1"/>
  <c r="AP86" i="1"/>
  <c r="GX83" i="1"/>
  <c r="CJ86" i="1" s="1"/>
  <c r="GN30" i="1"/>
  <c r="GM30" i="1"/>
  <c r="GN77" i="1"/>
  <c r="GM77" i="1"/>
  <c r="U83" i="1"/>
  <c r="AH86" i="1" s="1"/>
  <c r="U36" i="1"/>
  <c r="AH26" i="1"/>
  <c r="X36" i="1"/>
  <c r="AK26" i="1"/>
  <c r="BA26" i="1"/>
  <c r="F56" i="1"/>
  <c r="CP28" i="1"/>
  <c r="O28" i="1" s="1"/>
  <c r="AC36" i="1"/>
  <c r="AQ67" i="1"/>
  <c r="F96" i="1"/>
  <c r="Q83" i="1"/>
  <c r="AL36" i="1"/>
  <c r="S83" i="1"/>
  <c r="AF86" i="1" s="1"/>
  <c r="CP82" i="1"/>
  <c r="O82" i="1" s="1"/>
  <c r="GM78" i="1"/>
  <c r="GN78" i="1"/>
  <c r="AG86" i="1"/>
  <c r="GX84" i="1"/>
  <c r="S84" i="1"/>
  <c r="W83" i="1"/>
  <c r="AJ86" i="1" s="1"/>
  <c r="W84" i="1"/>
  <c r="CP76" i="1"/>
  <c r="O76" i="1" s="1"/>
  <c r="AE86" i="1"/>
  <c r="CP70" i="1"/>
  <c r="O70" i="1" s="1"/>
  <c r="BC67" i="1"/>
  <c r="F102" i="1"/>
  <c r="BC115" i="1"/>
  <c r="CG67" i="1"/>
  <c r="AX86" i="1"/>
  <c r="P84" i="1"/>
  <c r="CP84" i="1" s="1"/>
  <c r="O84" i="1" s="1"/>
  <c r="AH67" i="1" l="1"/>
  <c r="U86" i="1"/>
  <c r="AF67" i="1"/>
  <c r="S86" i="1"/>
  <c r="BC22" i="1"/>
  <c r="BC144" i="1"/>
  <c r="F131" i="1"/>
  <c r="GM70" i="1"/>
  <c r="GN70" i="1"/>
  <c r="AG67" i="1"/>
  <c r="T86" i="1"/>
  <c r="CJ67" i="1"/>
  <c r="BA86" i="1"/>
  <c r="GM79" i="1"/>
  <c r="GN79" i="1"/>
  <c r="T26" i="1"/>
  <c r="F57" i="1"/>
  <c r="GM75" i="1"/>
  <c r="GN75" i="1"/>
  <c r="CP33" i="1"/>
  <c r="O33" i="1" s="1"/>
  <c r="AD36" i="1"/>
  <c r="Q86" i="1"/>
  <c r="AD67" i="1"/>
  <c r="GM76" i="1"/>
  <c r="GN76" i="1"/>
  <c r="Y36" i="1"/>
  <c r="AL26" i="1"/>
  <c r="AC86" i="1"/>
  <c r="GM28" i="1"/>
  <c r="GN28" i="1"/>
  <c r="CB36" i="1" s="1"/>
  <c r="AB36" i="1"/>
  <c r="S26" i="1"/>
  <c r="F51" i="1"/>
  <c r="S115" i="1"/>
  <c r="BB22" i="1"/>
  <c r="F128" i="1"/>
  <c r="BB144" i="1"/>
  <c r="R26" i="1"/>
  <c r="F50" i="1"/>
  <c r="AO144" i="1"/>
  <c r="AO22" i="1"/>
  <c r="F119" i="1"/>
  <c r="AZ26" i="1"/>
  <c r="AZ115" i="1"/>
  <c r="F47" i="1"/>
  <c r="AU86" i="1"/>
  <c r="CD67" i="1"/>
  <c r="F109" i="1"/>
  <c r="V67" i="1"/>
  <c r="GM81" i="1"/>
  <c r="AJ67" i="1"/>
  <c r="W86" i="1"/>
  <c r="GM82" i="1"/>
  <c r="GN82" i="1"/>
  <c r="X26" i="1"/>
  <c r="F61" i="1"/>
  <c r="AE67" i="1"/>
  <c r="R86" i="1"/>
  <c r="CZ84" i="1"/>
  <c r="Y84" i="1" s="1"/>
  <c r="GM84" i="1" s="1"/>
  <c r="CY84" i="1"/>
  <c r="X84" i="1" s="1"/>
  <c r="GN84" i="1" s="1"/>
  <c r="CY83" i="1"/>
  <c r="X83" i="1" s="1"/>
  <c r="AK86" i="1" s="1"/>
  <c r="CZ83" i="1"/>
  <c r="Y83" i="1" s="1"/>
  <c r="AP67" i="1"/>
  <c r="AP115" i="1"/>
  <c r="F95" i="1"/>
  <c r="AB86" i="1"/>
  <c r="AQ26" i="1"/>
  <c r="F46" i="1"/>
  <c r="AQ115" i="1"/>
  <c r="AT67" i="1"/>
  <c r="F104" i="1"/>
  <c r="AT115" i="1"/>
  <c r="F59" i="1"/>
  <c r="V115" i="1"/>
  <c r="V26" i="1"/>
  <c r="F93" i="1"/>
  <c r="AX67" i="1"/>
  <c r="P36" i="1"/>
  <c r="CH36" i="1"/>
  <c r="AC26" i="1"/>
  <c r="CF36" i="1"/>
  <c r="CE36" i="1"/>
  <c r="U26" i="1"/>
  <c r="F58" i="1"/>
  <c r="AZ86" i="1"/>
  <c r="CI67" i="1"/>
  <c r="CP83" i="1"/>
  <c r="O83" i="1" s="1"/>
  <c r="AX26" i="1"/>
  <c r="F43" i="1"/>
  <c r="AX115" i="1"/>
  <c r="CA86" i="1" l="1"/>
  <c r="AK67" i="1"/>
  <c r="X86" i="1"/>
  <c r="AX22" i="1"/>
  <c r="F122" i="1"/>
  <c r="AX144" i="1"/>
  <c r="CH26" i="1"/>
  <c r="AY36" i="1"/>
  <c r="CB26" i="1"/>
  <c r="AS36" i="1"/>
  <c r="T67" i="1"/>
  <c r="F107" i="1"/>
  <c r="AZ67" i="1"/>
  <c r="F97" i="1"/>
  <c r="CE26" i="1"/>
  <c r="AV36" i="1"/>
  <c r="V22" i="1"/>
  <c r="F138" i="1"/>
  <c r="V144" i="1"/>
  <c r="AB67" i="1"/>
  <c r="O86" i="1"/>
  <c r="R67" i="1"/>
  <c r="F100" i="1"/>
  <c r="Q67" i="1"/>
  <c r="F98" i="1"/>
  <c r="U67" i="1"/>
  <c r="F108" i="1"/>
  <c r="CF26" i="1"/>
  <c r="AW36" i="1"/>
  <c r="AQ22" i="1"/>
  <c r="F125" i="1"/>
  <c r="AQ144" i="1"/>
  <c r="GN83" i="1"/>
  <c r="CB86" i="1" s="1"/>
  <c r="GM83" i="1"/>
  <c r="U115" i="1"/>
  <c r="AT22" i="1"/>
  <c r="F133" i="1"/>
  <c r="F16" i="2" s="1"/>
  <c r="F18" i="2" s="1"/>
  <c r="AT144" i="1"/>
  <c r="AP22" i="1"/>
  <c r="F124" i="1"/>
  <c r="G16" i="2" s="1"/>
  <c r="G18" i="2" s="1"/>
  <c r="AP144" i="1"/>
  <c r="AB26" i="1"/>
  <c r="O36" i="1"/>
  <c r="GP33" i="1"/>
  <c r="CD36" i="1" s="1"/>
  <c r="GM33" i="1"/>
  <c r="CA36" i="1" s="1"/>
  <c r="F101" i="1"/>
  <c r="S67" i="1"/>
  <c r="F110" i="1"/>
  <c r="W67" i="1"/>
  <c r="W115" i="1"/>
  <c r="AZ22" i="1"/>
  <c r="AZ144" i="1"/>
  <c r="F126" i="1"/>
  <c r="AO18" i="1"/>
  <c r="F148" i="1"/>
  <c r="BB18" i="1"/>
  <c r="F157" i="1"/>
  <c r="S22" i="1"/>
  <c r="F130" i="1"/>
  <c r="J16" i="2" s="1"/>
  <c r="J18" i="2" s="1"/>
  <c r="S144" i="1"/>
  <c r="P26" i="1"/>
  <c r="F39" i="1"/>
  <c r="AL86" i="1"/>
  <c r="Y26" i="1"/>
  <c r="F62" i="1"/>
  <c r="T115" i="1"/>
  <c r="BC18" i="1"/>
  <c r="F160" i="1"/>
  <c r="AU67" i="1"/>
  <c r="F105" i="1"/>
  <c r="R115" i="1"/>
  <c r="AC67" i="1"/>
  <c r="P86" i="1"/>
  <c r="CF86" i="1"/>
  <c r="CH86" i="1"/>
  <c r="CE86" i="1"/>
  <c r="Q36" i="1"/>
  <c r="AD26" i="1"/>
  <c r="BA67" i="1"/>
  <c r="F106" i="1"/>
  <c r="BA115" i="1"/>
  <c r="CA26" i="1" l="1"/>
  <c r="AR36" i="1"/>
  <c r="CB67" i="1"/>
  <c r="AS86" i="1"/>
  <c r="CH67" i="1"/>
  <c r="AY86" i="1"/>
  <c r="AP18" i="1"/>
  <c r="F153" i="1"/>
  <c r="AW26" i="1"/>
  <c r="F42" i="1"/>
  <c r="AS26" i="1"/>
  <c r="F53" i="1"/>
  <c r="Y86" i="1"/>
  <c r="AL67" i="1"/>
  <c r="S18" i="1"/>
  <c r="F159" i="1"/>
  <c r="AZ18" i="1"/>
  <c r="F155" i="1"/>
  <c r="AR86" i="1"/>
  <c r="CA67" i="1"/>
  <c r="F48" i="1"/>
  <c r="Q115" i="1"/>
  <c r="Q26" i="1"/>
  <c r="O26" i="1"/>
  <c r="F38" i="1"/>
  <c r="O115" i="1"/>
  <c r="U22" i="1"/>
  <c r="F137" i="1"/>
  <c r="U144" i="1"/>
  <c r="AV26" i="1"/>
  <c r="F41" i="1"/>
  <c r="AY26" i="1"/>
  <c r="F44" i="1"/>
  <c r="CE67" i="1"/>
  <c r="AV86" i="1"/>
  <c r="W22" i="1"/>
  <c r="F139" i="1"/>
  <c r="W144" i="1"/>
  <c r="AT18" i="1"/>
  <c r="F162" i="1"/>
  <c r="V18" i="1"/>
  <c r="F167" i="1"/>
  <c r="X67" i="1"/>
  <c r="F111" i="1"/>
  <c r="X115" i="1"/>
  <c r="R22" i="1"/>
  <c r="F129" i="1"/>
  <c r="R144" i="1"/>
  <c r="AX18" i="1"/>
  <c r="F151" i="1"/>
  <c r="CF67" i="1"/>
  <c r="AW86" i="1"/>
  <c r="AW115" i="1" s="1"/>
  <c r="T22" i="1"/>
  <c r="T144" i="1"/>
  <c r="F136" i="1"/>
  <c r="AU36" i="1"/>
  <c r="CD26" i="1"/>
  <c r="AQ18" i="1"/>
  <c r="F154" i="1"/>
  <c r="O67" i="1"/>
  <c r="F88" i="1"/>
  <c r="BA22" i="1"/>
  <c r="F135" i="1"/>
  <c r="BA144" i="1"/>
  <c r="P67" i="1"/>
  <c r="F89" i="1"/>
  <c r="P115" i="1"/>
  <c r="AW22" i="1" l="1"/>
  <c r="F121" i="1"/>
  <c r="AW144" i="1"/>
  <c r="AU26" i="1"/>
  <c r="F55" i="1"/>
  <c r="AU115" i="1"/>
  <c r="R18" i="1"/>
  <c r="F158" i="1"/>
  <c r="O22" i="1"/>
  <c r="F117" i="1"/>
  <c r="O144" i="1"/>
  <c r="AS67" i="1"/>
  <c r="F103" i="1"/>
  <c r="AV67" i="1"/>
  <c r="F91" i="1"/>
  <c r="U18" i="1"/>
  <c r="F166" i="1"/>
  <c r="F165" i="1"/>
  <c r="T18" i="1"/>
  <c r="F94" i="1"/>
  <c r="AY67" i="1"/>
  <c r="AR26" i="1"/>
  <c r="AR115" i="1"/>
  <c r="F63" i="1"/>
  <c r="BA18" i="1"/>
  <c r="F164" i="1"/>
  <c r="AW67" i="1"/>
  <c r="F92" i="1"/>
  <c r="Q22" i="1"/>
  <c r="Q144" i="1"/>
  <c r="F127" i="1"/>
  <c r="P144" i="1"/>
  <c r="F118" i="1"/>
  <c r="P22" i="1"/>
  <c r="Y67" i="1"/>
  <c r="F112" i="1"/>
  <c r="Y115" i="1"/>
  <c r="F168" i="1"/>
  <c r="W18" i="1"/>
  <c r="AV115" i="1"/>
  <c r="AS115" i="1"/>
  <c r="X144" i="1"/>
  <c r="X22" i="1"/>
  <c r="F140" i="1"/>
  <c r="AY115" i="1"/>
  <c r="AR67" i="1"/>
  <c r="F113" i="1"/>
  <c r="O18" i="1" l="1"/>
  <c r="F146" i="1"/>
  <c r="X18" i="1"/>
  <c r="F169" i="1"/>
  <c r="Q18" i="1"/>
  <c r="F156" i="1"/>
  <c r="AU22" i="1"/>
  <c r="AU144" i="1"/>
  <c r="F134" i="1"/>
  <c r="H16" i="2" s="1"/>
  <c r="H18" i="2" s="1"/>
  <c r="AV22" i="1"/>
  <c r="F120" i="1"/>
  <c r="AV144" i="1"/>
  <c r="P18" i="1"/>
  <c r="F147" i="1"/>
  <c r="AR22" i="1"/>
  <c r="F142" i="1"/>
  <c r="AR144" i="1"/>
  <c r="AW18" i="1"/>
  <c r="F150" i="1"/>
  <c r="AY22" i="1"/>
  <c r="AY144" i="1"/>
  <c r="F123" i="1"/>
  <c r="AS22" i="1"/>
  <c r="AS144" i="1"/>
  <c r="F132" i="1"/>
  <c r="E16" i="2" s="1"/>
  <c r="F141" i="1"/>
  <c r="Y22" i="1"/>
  <c r="Y144" i="1"/>
  <c r="AS18" i="1" l="1"/>
  <c r="F161" i="1"/>
  <c r="F163" i="1"/>
  <c r="AU18" i="1"/>
  <c r="Y18" i="1"/>
  <c r="F170" i="1"/>
  <c r="F149" i="1"/>
  <c r="AV18" i="1"/>
  <c r="E18" i="2"/>
  <c r="I16" i="2"/>
  <c r="I18" i="2" s="1"/>
  <c r="AY18" i="1"/>
  <c r="F152" i="1"/>
  <c r="AR18" i="1"/>
  <c r="F171" i="1"/>
</calcChain>
</file>

<file path=xl/sharedStrings.xml><?xml version="1.0" encoding="utf-8"?>
<sst xmlns="http://schemas.openxmlformats.org/spreadsheetml/2006/main" count="2279" uniqueCount="356">
  <si>
    <t>Smeta.RU  (495) 974-1589</t>
  </si>
  <si>
    <t>_PS_</t>
  </si>
  <si>
    <t>Smeta.RU</t>
  </si>
  <si>
    <t/>
  </si>
  <si>
    <t>Новый объект</t>
  </si>
  <si>
    <t>озеленение Большого Бульвара_январь</t>
  </si>
  <si>
    <t>Сметные нормы списания</t>
  </si>
  <si>
    <t>Коды ценников</t>
  </si>
  <si>
    <t>ТР для Версии 10: Центральные регионы (с учетом п-ма 2536-ИП/12/ГС от 22.03.2017 г</t>
  </si>
  <si>
    <t>ФЕР-2017</t>
  </si>
  <si>
    <t>Поправки  для ГСН 2017 от 25.10.2017 г  Строительство</t>
  </si>
  <si>
    <t>Новая локальная смета</t>
  </si>
  <si>
    <t>Новый раздел</t>
  </si>
  <si>
    <t>Демонтажные работы</t>
  </si>
  <si>
    <t>1</t>
  </si>
  <si>
    <t>27-03-010-01</t>
  </si>
  <si>
    <t>Разборка бортовых камней на бетонном основании</t>
  </si>
  <si>
    <t>100 м</t>
  </si>
  <si>
    <t>ФЕР-2001, 27-03-010-01, приказ Минстроя России №1039/пр от 30.12.2016г.</t>
  </si>
  <si>
    <t>Общестроительные работы</t>
  </si>
  <si>
    <t>Автомобильные дороги</t>
  </si>
  <si>
    <t>ФЕР-27</t>
  </si>
  <si>
    <t>*0,85</t>
  </si>
  <si>
    <t>*0,8</t>
  </si>
  <si>
    <t>2</t>
  </si>
  <si>
    <t>27-03-008-04</t>
  </si>
  <si>
    <t>Разборка покрытий и оснований асфальтобетонных</t>
  </si>
  <si>
    <t>100 м3</t>
  </si>
  <si>
    <t>ФЕР-2001, 27-03-008-04, приказ Минстроя России №1039/пр от 30.12.2016г.</t>
  </si>
  <si>
    <t>3</t>
  </si>
  <si>
    <t>27-03-008-05</t>
  </si>
  <si>
    <t>Разборка покрытий и оснований цементно-бетонных</t>
  </si>
  <si>
    <t>ФЕР-2001, 27-03-008-05, приказ Минстроя России №1039/пр от 30.12.2016г.</t>
  </si>
  <si>
    <t>4</t>
  </si>
  <si>
    <t>т01-01-01-043</t>
  </si>
  <si>
    <t>Погрузочные работы при автомобильных перевозках мусора строительного с погрузкой экскаваторами емкостью ковша до 0,5 м3</t>
  </si>
  <si>
    <t>1 Т ГРУЗА</t>
  </si>
  <si>
    <t>ФССЦпг-2001, т01-01-01-043,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</si>
  <si>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</si>
  <si>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</si>
  <si>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</si>
  <si>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5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</si>
  <si>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</si>
  <si>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</si>
  <si>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</si>
  <si>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</si>
  <si>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</si>
  <si>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</si>
  <si>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6</t>
  </si>
  <si>
    <t>Приказ ОДПС Сколково № 189 от 26.09.13г.</t>
  </si>
  <si>
    <t>т</t>
  </si>
  <si>
    <t>Строка по умолчанию</t>
  </si>
  <si>
    <t>Прочие работы</t>
  </si>
  <si>
    <t>по умолчанию</t>
  </si>
  <si>
    <t>[110 /  8,84]</t>
  </si>
  <si>
    <t>7</t>
  </si>
  <si>
    <t>[200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</si>
  <si>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</si>
  <si>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</si>
  <si>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</si>
  <si>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</si>
  <si>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</si>
  <si>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</si>
  <si>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</si>
  <si>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</si>
  <si>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</si>
  <si>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</si>
  <si>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</si>
  <si>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</si>
  <si>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</si>
  <si>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</si>
  <si>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</si>
  <si>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</si>
  <si>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</si>
  <si>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</si>
  <si>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</si>
  <si>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</si>
  <si>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</si>
  <si>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</si>
  <si>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</si>
  <si>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</si>
  <si>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</si>
  <si>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</si>
  <si>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</si>
  <si>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</si>
  <si>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</si>
  <si>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</si>
  <si>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</si>
  <si>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</si>
  <si>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</si>
  <si>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</si>
  <si>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</si>
  <si>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</si>
  <si>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</si>
  <si>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</si>
  <si>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</si>
  <si>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</si>
  <si>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</si>
  <si>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</si>
  <si>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</si>
  <si>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</si>
  <si>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</si>
  <si>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</si>
  <si>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</si>
  <si>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</si>
  <si>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</si>
  <si>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</si>
  <si>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</si>
  <si>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</si>
  <si>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Озеленение</t>
  </si>
  <si>
    <t>8</t>
  </si>
  <si>
    <t>47-01-005-15</t>
  </si>
  <si>
    <t>Подготовка стандартных посадочных мест механизированным способом для деревьев и кустарников с квадратным комом земли размером 1,0x1,0x0,6 м с добавлением растительной земли до 100%</t>
  </si>
  <si>
    <t>10 ШТ</t>
  </si>
  <si>
    <t>ФЕР-2001, 47-01-005-15, приказ Минстроя России №1039/пр от 30.12.2016г.</t>
  </si>
  <si>
    <t>Озеленение. Защитные лесонасаждения</t>
  </si>
  <si>
    <t>ФЕР-47</t>
  </si>
  <si>
    <t>8,1</t>
  </si>
  <si>
    <t>16.3.02.02-0002</t>
  </si>
  <si>
    <t>Удобрения органо-минеральное "Универсал"</t>
  </si>
  <si>
    <t>кг</t>
  </si>
  <si>
    <t>ФССЦ-2001, 16.3.02.02-0002, приказ Минстроя России №1039/пр от 30.12.2016г.</t>
  </si>
  <si>
    <t>9</t>
  </si>
  <si>
    <t>т01-01-01-039</t>
  </si>
  <si>
    <t>Погрузочные работы при автомобильных перевозках грунта растительного слоя (земля, перегной)</t>
  </si>
  <si>
    <t>ФССЦпг-2001, т01-01-01-039, приказ Минстроя России №1039/пр от 30.12.2016г.</t>
  </si>
  <si>
    <t>10</t>
  </si>
  <si>
    <t>11</t>
  </si>
  <si>
    <t>м3</t>
  </si>
  <si>
    <t>[94 / 1,18 /  8,84]</t>
  </si>
  <si>
    <t>12</t>
  </si>
  <si>
    <t>47-01-009-07</t>
  </si>
  <si>
    <t>Посадка деревьев и кустарников с комом земли размером 1,0x1,0x0,6 м</t>
  </si>
  <si>
    <t>ФЕР-2001, 47-01-009-07, приказ Минстроя России №1039/пр от 30.12.2016г.</t>
  </si>
  <si>
    <t>12,1</t>
  </si>
  <si>
    <t>КА п.1</t>
  </si>
  <si>
    <t>Липа европейская "Pallida"</t>
  </si>
  <si>
    <t>ШТ</t>
  </si>
  <si>
    <t>[81 076,27 /  7,24] +  3% Трансп +  2% Заг.скл</t>
  </si>
  <si>
    <t>12,2</t>
  </si>
  <si>
    <t>КА п.2</t>
  </si>
  <si>
    <t>Клен остролистный "Deborah"</t>
  </si>
  <si>
    <t>[91 525,42 /  7,24] +  3% Трансп +  2% Заг.скл</t>
  </si>
  <si>
    <t>13</t>
  </si>
  <si>
    <t>23-04-011-01</t>
  </si>
  <si>
    <t>Установка люка (прим. установка приствольной решетки)</t>
  </si>
  <si>
    <t>ФЕР-2001, 23-04-011-01, приказ Минстроя России №1039/пр от 30.12.2016г.</t>
  </si>
  <si>
    <t>Канализация - наружные сети</t>
  </si>
  <si>
    <t>ФЕР-23</t>
  </si>
  <si>
    <t>13,1</t>
  </si>
  <si>
    <t>04.1.02.05-0007</t>
  </si>
  <si>
    <t>Бетон тяжелый, класс В20 (М250)</t>
  </si>
  <si>
    <t>ФССЦ-2001, 04.1.02.05-0007, приказ Минстроя России №1039/пр от 30.12.2016г.</t>
  </si>
  <si>
    <t>13,2</t>
  </si>
  <si>
    <t>КА п.3</t>
  </si>
  <si>
    <t>Приствольная решетка</t>
  </si>
  <si>
    <t>[20 126,27 /  7,24] +  3% Трансп +  2% Заг.скл</t>
  </si>
  <si>
    <t>14</t>
  </si>
  <si>
    <t>47-01-067-07</t>
  </si>
  <si>
    <t>Уход за деревьями или кустарниками с комом земли размером 1,0x1,0x0,6 м</t>
  </si>
  <si>
    <t>ФЕР-2001, 47-01-067-07, приказ Минстроя России №1039/пр от 30.12.2016г.</t>
  </si>
  <si>
    <t>15</t>
  </si>
  <si>
    <t>47-01-005-11</t>
  </si>
  <si>
    <t>Подготовка стандартных посадочных мест механизированным способом для деревьев и кустарников с квадратным комом земли размером 1,0x1,0x0,6 м в естественном грунте (восстановление отпада - п.1.47.15 ТЧ)</t>
  </si>
  <si>
    <t>ФЕР-2001, 47-01-005-11, приказ Минстроя России №1039/пр от 30.12.2016г.</t>
  </si>
  <si>
    <t>16</t>
  </si>
  <si>
    <t>16,1</t>
  </si>
  <si>
    <t>16,2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</si>
  <si>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</si>
  <si>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</si>
  <si>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</si>
  <si>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</si>
  <si>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</si>
  <si>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</si>
  <si>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</si>
  <si>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</si>
  <si>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</si>
  <si>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</si>
  <si>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</si>
  <si>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</si>
  <si>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</si>
  <si>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</si>
  <si>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</si>
  <si>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</si>
  <si>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</si>
  <si>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</si>
  <si>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</si>
  <si>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</si>
  <si>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</si>
  <si>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</si>
  <si>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</si>
  <si>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</si>
  <si>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</si>
  <si>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</si>
  <si>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</si>
  <si>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</si>
  <si>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</si>
  <si>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</si>
  <si>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</si>
  <si>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</si>
  <si>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</si>
  <si>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</si>
  <si>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</si>
  <si>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</si>
  <si>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</si>
  <si>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</si>
  <si>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</si>
  <si>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</si>
  <si>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</si>
  <si>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</si>
  <si>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</si>
  <si>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</si>
  <si>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</si>
  <si>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</si>
  <si>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</si>
  <si>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</si>
  <si>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</si>
  <si>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</si>
  <si>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</si>
  <si>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</si>
  <si>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</si>
  <si>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</si>
  <si>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</si>
  <si>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</si>
  <si>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</si>
  <si>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</si>
  <si>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</si>
  <si>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</si>
  <si>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</si>
  <si>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Уровень цен</t>
  </si>
  <si>
    <t>Сборник индексов</t>
  </si>
  <si>
    <t>_OBSM_</t>
  </si>
  <si>
    <t>1-100-23</t>
  </si>
  <si>
    <t>Рабочий среднего разряда 2.3</t>
  </si>
  <si>
    <t>чел.-ч.</t>
  </si>
  <si>
    <t>1-100-27</t>
  </si>
  <si>
    <t>Рабочий среднего разряда 2.7</t>
  </si>
  <si>
    <t>4-100-00</t>
  </si>
  <si>
    <t>Затраты труда машинистов</t>
  </si>
  <si>
    <t>91.01.02-004</t>
  </si>
  <si>
    <t>ФСЭМ-2001, 91.01.02-004, приказ Минстроя России №1039/пр от 30.12.2016г.</t>
  </si>
  <si>
    <t>Автогрейдеры среднего типа, мощность 99 кВт (135 л.с.)</t>
  </si>
  <si>
    <t>маш.-ч</t>
  </si>
  <si>
    <t>91.18.01-007</t>
  </si>
  <si>
    <t>ФСЭМ-2001, 91.18.01-007, приказ Минстроя России №1039/пр от 30.12.2016г.</t>
  </si>
  <si>
    <t>Компрессоры передвижные с двигателем внутреннего сгорания, давлением до 686 кПа (7 ат), производительность до 5 м3/мин</t>
  </si>
  <si>
    <t>91.21.10-003</t>
  </si>
  <si>
    <t>ФСЭМ-2001, 91.21.10-003, приказ Минстроя России №1039/пр от 30.12.2016г.</t>
  </si>
  <si>
    <t>Молотки при работе от передвижных компрессорных станций отбойные пневматические</t>
  </si>
  <si>
    <t>1-100-20</t>
  </si>
  <si>
    <t>Рабочий среднего разряда 2</t>
  </si>
  <si>
    <t>91.01.01-035</t>
  </si>
  <si>
    <t>ФСЭМ-2001, 91.01.01-035, приказ Минстроя России №1039/пр от 30.12.2016г.</t>
  </si>
  <si>
    <t>Бульдозеры, мощность 79 кВт (108 л.с.)</t>
  </si>
  <si>
    <t>91.01.05-086</t>
  </si>
  <si>
    <t>ФСЭМ-2001, 91.01.05-086, приказ Минстроя России №1039/пр от 30.12.2016г.</t>
  </si>
  <si>
    <t>Экскаваторы одноковшовые дизельные на гусеничном ходу, емкость ковша 0,65 м3</t>
  </si>
  <si>
    <t>91.01.05-106</t>
  </si>
  <si>
    <t>ФСЭМ-2001, 91.01.05-106, приказ Минстроя России №1039/пр от 30.12.2016г.</t>
  </si>
  <si>
    <t>Экскаваторы одноковшовые дизельные на пневмоколесном ходу, емкость ковша 0,25 м3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</si>
  <si>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</si>
  <si>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</si>
  <si>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</si>
  <si>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1-100-40</t>
  </si>
  <si>
    <t>Рабочий среднего разряда 4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</si>
  <si>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</si>
  <si>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</si>
  <si>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</si>
  <si>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91.13.01-038</t>
  </si>
  <si>
    <t>ФСЭМ-2001, 91.13.01-038, приказ Минстроя России №1039/пр от 30.12.2016г.</t>
  </si>
  <si>
    <t>Машины поливомоечные 6000 л</t>
  </si>
  <si>
    <t>01.7.03.01-0001</t>
  </si>
  <si>
    <t>ФССЦ-2001, 01.7.03.01-0001, приказ Минстроя России №1039/пр от 30.12.2016г.</t>
  </si>
  <si>
    <t>Вода</t>
  </si>
  <si>
    <t>01.7.20.07-0001</t>
  </si>
  <si>
    <t>ФССЦ-2001, 01.7.20.07-0001, приказ Минстроя России №1039/пр от 30.12.2016г.</t>
  </si>
  <si>
    <t>Шпагат из пенькового волокна</t>
  </si>
  <si>
    <t>01.7.20.08-0162</t>
  </si>
  <si>
    <t>ФССЦ-2001, 01.7.20.08-0162, приказ Минстроя России №1039/пр от 30.12.2016г.</t>
  </si>
  <si>
    <t>Ткань мешочная</t>
  </si>
  <si>
    <t>10 м2</t>
  </si>
  <si>
    <t>11.2.04.06-0031</t>
  </si>
  <si>
    <t>ФССЦ-2001, 11.2.04.06-0031, приказ Минстроя России №1039/пр от 30.12.2016г.</t>
  </si>
  <si>
    <t>Колья деревянные посадочные 2200x60 мм</t>
  </si>
  <si>
    <t>шт.</t>
  </si>
  <si>
    <t>1-100-31</t>
  </si>
  <si>
    <t>Рабочий среднего разряда 3.1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</si>
  <si>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</si>
  <si>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</si>
  <si>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</si>
  <si>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1-100-30</t>
  </si>
  <si>
    <t>Рабочий среднего разряда 3</t>
  </si>
  <si>
    <t>16.3.02.02</t>
  </si>
  <si>
    <t>Удобрения органо-минеральные</t>
  </si>
  <si>
    <t>16.2.02.10</t>
  </si>
  <si>
    <t>Деревья или кустарники с комом земли</t>
  </si>
  <si>
    <t>08.1.02.06</t>
  </si>
  <si>
    <t>Люки чугунные</t>
  </si>
  <si>
    <t>Утилизация боя бетонных изделий в соответствии с приказом № 189 от 26.09.2013г. (Письмо Минрегиона России от 29.07.2013 N 13478-СД/10 Приложение №4, п.30, к=8,84; Письмо Минстроя России от 05.12.2017 N 45082-ХМ/09 на IV квартал 2017г. Приложение №3, п.30, к=9,99)</t>
  </si>
  <si>
    <t>Утилизация отходов асфальтобетона в соответствии с приказом № 189 от 26.09.2013г. (Письмо Минрегиона России от 29.07.2013 N 13478-СД/10 Приложение №4, п.30, к=8,84; Письмо Минстроя России от 05.12.2017 N 45082-ХМ/09 на IV квартал 2017г. Приложение №3, п.30, к=9,99)</t>
  </si>
  <si>
    <t>Размещение грунта (насыпные экологически незамусоренные) в соответствии с приказом № 189 от 26.09.2013г. (Письмо Минрегиона России от 29.07.2013 N 13478-СД/10 Приложение №4, п.30, к=8,84; Письмо Минстроя России от 05.12.2017 N 45082-ХМ/09 на IV квартал 2017г. Приложение №3, п.30, к=9,99)</t>
  </si>
  <si>
    <t>"СОГЛАСОВАНО"</t>
  </si>
  <si>
    <t>"УТВЕРЖДАЮ"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</si>
  <si>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</si>
  <si>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</si>
  <si>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</si>
  <si>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</si>
  <si>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</si>
  <si>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</si>
  <si>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</si>
  <si>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</si>
  <si>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</si>
  <si>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</si>
  <si>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</si>
  <si>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</si>
  <si>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</si>
  <si>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</si>
  <si>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</si>
  <si>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</si>
  <si>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</si>
  <si>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</si>
  <si>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</si>
  <si>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</si>
  <si>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</si>
  <si>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</si>
  <si>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ЗП</t>
  </si>
  <si>
    <t>%</t>
  </si>
  <si>
    <t>ЗТР</t>
  </si>
  <si>
    <t>чел-ч</t>
  </si>
  <si>
    <t>Всего по позиции</t>
  </si>
  <si>
    <t>ЭМ</t>
  </si>
  <si>
    <t>в т.ч. ЗПМ</t>
  </si>
  <si>
    <r>
      <t>Утилизация боя бетонных изделий в соответствии с приказом № 189 от 26.09.2013г. (Письмо Минрегиона России от 29.07.2013 N 13478-СД/10 Приложение №4, п.30, к=8,84; Письмо Минстроя России от 05.12.2017 N 45082-ХМ/09 на IV квартал 2017г. Приложение №3, п.30, к=9,99)</t>
    </r>
    <r>
      <rPr>
        <i/>
        <sz val="10"/>
        <rFont val="Arial"/>
        <family val="2"/>
        <charset val="204"/>
      </rPr>
      <t xml:space="preserve">
Базисная стоимость: 12,44 = [110 /  8,84]</t>
    </r>
  </si>
  <si>
    <r>
      <t>Утилизация отходов асфальтобетона в соответствии с приказом № 189 от 26.09.2013г. (Письмо Минрегиона России от 29.07.2013 N 13478-СД/10 Приложение №4, п.30, к=8,84; Письмо Минстроя России от 05.12.2017 N 45082-ХМ/09 на IV квартал 2017г. Приложение №3, п.30, к=9,99)</t>
    </r>
    <r>
      <rPr>
        <i/>
        <sz val="10"/>
        <rFont val="Arial"/>
        <family val="2"/>
        <charset val="204"/>
      </rPr>
      <t xml:space="preserve">
Базисная стоимость: 22,62 = [200 /  8,84]</t>
    </r>
  </si>
  <si>
    <t>МР</t>
  </si>
  <si>
    <r>
      <t>Размещение грунта (насыпные экологически незамусоренные) в соответствии с приказом № 189 от 26.09.2013г. (Письмо Минрегиона России от 29.07.2013 N 13478-СД/10 Приложение №4, п.30, к=8,84; Письмо Минстроя России от 05.12.2017 N 45082-ХМ/09 на IV квартал 2017г. Приложение №3, п.30, к=9,99)</t>
    </r>
    <r>
      <rPr>
        <i/>
        <sz val="10"/>
        <rFont val="Arial"/>
        <family val="2"/>
        <charset val="204"/>
      </rPr>
      <t xml:space="preserve">
Базисная стоимость: 9,01 = [94 / 1,18 /  8,84]</t>
    </r>
  </si>
  <si>
    <r>
      <t>Липа европейская "Pallida"</t>
    </r>
    <r>
      <rPr>
        <i/>
        <sz val="10"/>
        <rFont val="Arial"/>
        <family val="2"/>
        <charset val="204"/>
      </rPr>
      <t xml:space="preserve">
Базисная стоимость: 11 765,02 = [81 076,27 /  7,24] +  3% Трансп +  2% Заг.скл</t>
    </r>
  </si>
  <si>
    <r>
      <t>Клен остролистный "Deborah"</t>
    </r>
    <r>
      <rPr>
        <i/>
        <sz val="10"/>
        <rFont val="Arial"/>
        <family val="2"/>
        <charset val="204"/>
      </rPr>
      <t xml:space="preserve">
Базисная стоимость: 13 281,30 = [91 525,42 /  7,24] +  3% Трансп +  2% Заг.скл</t>
    </r>
  </si>
  <si>
    <r>
      <t>Приствольная решетка</t>
    </r>
    <r>
      <rPr>
        <i/>
        <sz val="10"/>
        <rFont val="Arial"/>
        <family val="2"/>
        <charset val="204"/>
      </rPr>
      <t xml:space="preserve">
Базисная стоимость: 2 920,54 = [20 126,27 /  7,24] +  3% Трансп +  2% Заг.скл</t>
    </r>
  </si>
  <si>
    <t>Территория инновационного центра "Сколково"</t>
  </si>
  <si>
    <t>07-01-01</t>
  </si>
  <si>
    <t>Выполнение работ по озеленению объекта: "Внутригородские системы инженерно-технического обеспечения, комплексное благоустройство и озеленение инновационного центра "Сколково". Дороги и магистральные инженерные коммуникации по Бульвару"</t>
  </si>
  <si>
    <t>Техническое задание</t>
  </si>
  <si>
    <t>Составлен(а) в уровне текущих (прогнозных) цен Мособлгосэкспертиза к ФЕР 2017 январь 2018 года</t>
  </si>
  <si>
    <t>НДС-18%</t>
  </si>
  <si>
    <t>Итого с НДС-18%</t>
  </si>
  <si>
    <t>Т.О. Ащепкова</t>
  </si>
  <si>
    <t>Л.И. Волмаер</t>
  </si>
  <si>
    <t>Руководитель Управления по ценообразованию и сметной работе</t>
  </si>
  <si>
    <t>Инженер-сметчик Дирекции по эксплуатации и содержанию объектов</t>
  </si>
  <si>
    <t>Приложение №5 к Договору №__________________от __________</t>
  </si>
  <si>
    <t>Генеральный директор</t>
  </si>
  <si>
    <t>ООО "ОДПС Сколково"</t>
  </si>
  <si>
    <t>___________________/А.С. Савченко/</t>
  </si>
  <si>
    <t>ЛОКАЛЬНЫЙ СМЕТНЫЙ РАСЧЕТ № 1</t>
  </si>
  <si>
    <t>Итого по локальной смете с учтетом коэффициента тендерного снижения 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</si>
</sst>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49" fontId="1" fillId="0" borderId="0" xfId="0" applyNumberFormat="1" applyFont="1"/>
    <xf numFmtId="0" fontId="18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Border="1"/>
    <xf numFmtId="0" fontId="0" fillId="0" borderId="0" xfId="0" applyBorder="1"/>
    <xf numFmtId="0" fontId="1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164" fontId="16" fillId="0" borderId="0" xfId="0" applyNumberFormat="1" applyFont="1" applyAlignment="1">
      <alignment horizontal="right"/>
    </xf>
    <xf numFmtId="0" fontId="9" fillId="0" borderId="0" xfId="0" applyFont="1" applyBorder="1" applyAlignment="1">
      <alignment horizontal="center" vertical="top"/>
    </xf>
    <xf numFmtId="164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8"/>
  <sheetViews>
    <sheetView tabSelected="1" topLeftCell="A114" zoomScaleNormal="100" workbookViewId="0">
      <selection activeCell="M155" sqref="M155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6" width="0" hidden="1" customWidth="1"/>
  </cols>
  <sheetData>
    <row r="1" spans="1:10" s="9" customFormat="1" ht="12" x14ac:dyDescent="0.2">
      <c r="J1" s="40" t="s">
        <v>350</v>
      </c>
    </row>
    <row r="2" spans="1:10" s="9" customFormat="1" ht="12" x14ac:dyDescent="0.2"/>
    <row r="3" spans="1:10" s="9" customFormat="1" ht="12" x14ac:dyDescent="0.2"/>
    <row r="4" spans="1:10" ht="14.25" x14ac:dyDescent="0.2">
      <c r="A4" s="10"/>
      <c r="B4" s="10"/>
      <c r="C4" s="10"/>
      <c r="D4" s="10"/>
      <c r="E4" s="10"/>
      <c r="F4" s="10"/>
      <c r="G4" s="10"/>
      <c r="H4" s="10"/>
      <c r="I4" s="10"/>
      <c r="J4" s="11"/>
    </row>
    <row r="5" spans="1:10" ht="16.5" x14ac:dyDescent="0.25">
      <c r="A5" s="12"/>
      <c r="B5" s="44" t="s">
        <v>301</v>
      </c>
      <c r="C5" s="44"/>
      <c r="D5" s="44"/>
      <c r="E5" s="44"/>
      <c r="F5" s="13"/>
      <c r="G5" s="44" t="s">
        <v>302</v>
      </c>
      <c r="H5" s="45"/>
      <c r="I5" s="45"/>
      <c r="J5" s="45"/>
    </row>
    <row r="6" spans="1:10" ht="14.25" x14ac:dyDescent="0.2">
      <c r="A6" s="13"/>
      <c r="B6" s="46"/>
      <c r="C6" s="46"/>
      <c r="D6" s="46"/>
      <c r="E6" s="46"/>
      <c r="F6" s="13"/>
      <c r="G6" s="46" t="s">
        <v>351</v>
      </c>
      <c r="H6" s="45"/>
      <c r="I6" s="45"/>
      <c r="J6" s="45"/>
    </row>
    <row r="7" spans="1:10" ht="14.25" x14ac:dyDescent="0.2">
      <c r="A7" s="14"/>
      <c r="B7" s="14"/>
      <c r="C7" s="15"/>
      <c r="D7" s="15"/>
      <c r="E7" s="15"/>
      <c r="F7" s="13"/>
      <c r="G7" s="16" t="s">
        <v>352</v>
      </c>
      <c r="H7" s="15"/>
      <c r="I7" s="15"/>
      <c r="J7" s="15"/>
    </row>
    <row r="8" spans="1:10" ht="14.25" x14ac:dyDescent="0.2">
      <c r="A8" s="14"/>
      <c r="B8" s="14"/>
      <c r="C8" s="15"/>
      <c r="D8" s="15"/>
      <c r="E8" s="15"/>
      <c r="F8" s="13"/>
      <c r="G8" s="16"/>
      <c r="H8" s="15"/>
      <c r="I8" s="15"/>
      <c r="J8" s="15"/>
    </row>
    <row r="9" spans="1:10" ht="14.25" x14ac:dyDescent="0.2">
      <c r="A9" s="16"/>
      <c r="B9" s="46" t="str">
        <f>CONCATENATE("______________________ ", IF(Source!AL12&lt;&gt;"", Source!AL12, ""))</f>
        <v xml:space="preserve">______________________ </v>
      </c>
      <c r="C9" s="46"/>
      <c r="D9" s="46"/>
      <c r="E9" s="46"/>
      <c r="F9" s="13"/>
      <c r="G9" s="46" t="s">
        <v>353</v>
      </c>
      <c r="H9" s="45"/>
      <c r="I9" s="45"/>
      <c r="J9" s="45"/>
    </row>
    <row r="10" spans="1:10" ht="14.25" x14ac:dyDescent="0.2">
      <c r="A10" s="17"/>
      <c r="B10" s="47" t="s">
        <v>303</v>
      </c>
      <c r="C10" s="47"/>
      <c r="D10" s="47"/>
      <c r="E10" s="47"/>
      <c r="F10" s="13"/>
      <c r="G10" s="47" t="s">
        <v>303</v>
      </c>
      <c r="H10" s="48"/>
      <c r="I10" s="48"/>
      <c r="J10" s="48"/>
    </row>
    <row r="12" spans="1:10" ht="14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1"/>
    </row>
    <row r="13" spans="1:10" ht="15.75" x14ac:dyDescent="0.25">
      <c r="A13" s="49" t="s">
        <v>339</v>
      </c>
      <c r="B13" s="49"/>
      <c r="C13" s="49"/>
      <c r="D13" s="49"/>
      <c r="E13" s="49"/>
      <c r="F13" s="49"/>
      <c r="G13" s="49"/>
      <c r="H13" s="49"/>
      <c r="I13" s="49"/>
      <c r="J13" s="49"/>
    </row>
    <row r="14" spans="1:10" x14ac:dyDescent="0.2">
      <c r="A14" s="50" t="s">
        <v>304</v>
      </c>
      <c r="B14" s="50"/>
      <c r="C14" s="50"/>
      <c r="D14" s="50"/>
      <c r="E14" s="50"/>
      <c r="F14" s="50"/>
      <c r="G14" s="50"/>
      <c r="H14" s="50"/>
      <c r="I14" s="50"/>
      <c r="J14" s="50"/>
    </row>
    <row r="15" spans="1:10" ht="14.25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15.75" x14ac:dyDescent="0.25">
      <c r="A16" s="49" t="s">
        <v>354</v>
      </c>
      <c r="B16" s="49"/>
      <c r="C16" s="49"/>
      <c r="D16" s="49"/>
      <c r="E16" s="49"/>
      <c r="F16" s="49"/>
      <c r="G16" s="49"/>
      <c r="H16" s="49"/>
      <c r="I16" s="49"/>
      <c r="J16" s="49"/>
    </row>
    <row r="17" spans="1:10" x14ac:dyDescent="0.2">
      <c r="A17" s="51" t="s">
        <v>305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4.25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ht="18" hidden="1" x14ac:dyDescent="0.25">
      <c r="A19" s="52" t="str">
        <f>IF(Source!G20&lt;&gt;"Новая локальная смета", Source!G20, "")</f>
        <v/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14.25" hidden="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ht="62.25" customHeight="1" x14ac:dyDescent="0.25">
      <c r="A21" s="53" t="str">
        <f>IF(Source!G12&lt;&gt;"Новый объект", Source!G12, "")</f>
        <v>Выполнение работ по озеленению объекта: "Внутригородские системы инженерно-технического обеспечения, комплексное благоустройство и озеленение инновационного центра "Сколково". Дороги и магистральные инженерные коммуникации по Бульвару"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x14ac:dyDescent="0.2">
      <c r="A22" s="51" t="s">
        <v>306</v>
      </c>
      <c r="B22" s="55"/>
      <c r="C22" s="55"/>
      <c r="D22" s="55"/>
      <c r="E22" s="55"/>
      <c r="F22" s="55"/>
      <c r="G22" s="55"/>
      <c r="H22" s="55"/>
      <c r="I22" s="55"/>
      <c r="J22" s="55"/>
    </row>
    <row r="23" spans="1:10" ht="14.25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ht="14.25" x14ac:dyDescent="0.2">
      <c r="A24" s="56" t="str">
        <f>CONCATENATE( "Основание: ", Source!J20)</f>
        <v>Основание: Техническое задание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 ht="14.25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ht="14.25" x14ac:dyDescent="0.2">
      <c r="A26" s="13"/>
      <c r="B26" s="13"/>
      <c r="C26" s="13"/>
      <c r="D26" s="13"/>
      <c r="E26" s="13"/>
      <c r="F26" s="13"/>
      <c r="G26" s="13"/>
      <c r="H26" s="18" t="s">
        <v>307</v>
      </c>
      <c r="I26" s="18" t="s">
        <v>308</v>
      </c>
      <c r="J26" s="13"/>
    </row>
    <row r="27" spans="1:10" ht="14.25" x14ac:dyDescent="0.2">
      <c r="A27" s="13"/>
      <c r="B27" s="13"/>
      <c r="C27" s="13"/>
      <c r="D27" s="13"/>
      <c r="E27" s="13"/>
      <c r="F27" s="13"/>
      <c r="G27" s="13"/>
      <c r="H27" s="18" t="s">
        <v>309</v>
      </c>
      <c r="I27" s="18" t="s">
        <v>309</v>
      </c>
      <c r="J27" s="13"/>
    </row>
    <row r="28" spans="1:10" ht="14.25" x14ac:dyDescent="0.2">
      <c r="A28" s="13"/>
      <c r="B28" s="13"/>
      <c r="C28" s="13"/>
      <c r="D28" s="13"/>
      <c r="E28" s="46" t="s">
        <v>310</v>
      </c>
      <c r="F28" s="46"/>
      <c r="G28" s="46"/>
      <c r="H28" s="19">
        <f>SUM(O35:O143)/1000</f>
        <v>1892.3542700000003</v>
      </c>
      <c r="I28" s="19">
        <f>(Source!F142/1000)</f>
        <v>14507.333339999999</v>
      </c>
      <c r="J28" s="13" t="s">
        <v>311</v>
      </c>
    </row>
    <row r="29" spans="1:10" ht="14.25" x14ac:dyDescent="0.2">
      <c r="A29" s="13"/>
      <c r="B29" s="13"/>
      <c r="C29" s="13"/>
      <c r="D29" s="13"/>
      <c r="E29" s="46" t="s">
        <v>312</v>
      </c>
      <c r="F29" s="46"/>
      <c r="G29" s="46"/>
      <c r="H29" s="19">
        <f>I29</f>
        <v>2297.0140000000001</v>
      </c>
      <c r="I29" s="19">
        <f>(Source!F137+Source!F138)</f>
        <v>2297.0140000000001</v>
      </c>
      <c r="J29" s="13" t="s">
        <v>313</v>
      </c>
    </row>
    <row r="30" spans="1:10" ht="14.25" x14ac:dyDescent="0.2">
      <c r="A30" s="13"/>
      <c r="B30" s="13"/>
      <c r="C30" s="13"/>
      <c r="D30" s="13"/>
      <c r="E30" s="46" t="s">
        <v>314</v>
      </c>
      <c r="F30" s="46"/>
      <c r="G30" s="46"/>
      <c r="H30" s="19">
        <f>SUM(Q35:Q143)/1000</f>
        <v>19.772770000000001</v>
      </c>
      <c r="I30" s="19">
        <f>(Source!F130+ Source!F129)/1000</f>
        <v>489.57383999999996</v>
      </c>
      <c r="J30" s="13" t="s">
        <v>311</v>
      </c>
    </row>
    <row r="31" spans="1:10" ht="14.25" x14ac:dyDescent="0.2">
      <c r="A31" s="13"/>
      <c r="B31" s="13"/>
      <c r="C31" s="13"/>
      <c r="D31" s="13"/>
      <c r="E31" s="13"/>
      <c r="F31" s="13"/>
      <c r="G31" s="13"/>
      <c r="H31" s="10"/>
      <c r="I31" s="19"/>
      <c r="J31" s="13"/>
    </row>
    <row r="32" spans="1:10" ht="14.25" x14ac:dyDescent="0.2">
      <c r="A32" s="13" t="s">
        <v>343</v>
      </c>
      <c r="B32" s="13"/>
      <c r="C32" s="13"/>
      <c r="D32" s="20"/>
      <c r="E32" s="21"/>
      <c r="F32" s="13"/>
      <c r="G32" s="13"/>
      <c r="H32" s="13"/>
      <c r="I32" s="13"/>
      <c r="J32" s="13"/>
    </row>
    <row r="33" spans="1:21" ht="71.25" x14ac:dyDescent="0.2">
      <c r="A33" s="22" t="s">
        <v>315</v>
      </c>
      <c r="B33" s="22" t="s">
        <v>316</v>
      </c>
      <c r="C33" s="22" t="s">
        <v>317</v>
      </c>
      <c r="D33" s="22" t="s">
        <v>318</v>
      </c>
      <c r="E33" s="22" t="s">
        <v>319</v>
      </c>
      <c r="F33" s="22" t="s">
        <v>320</v>
      </c>
      <c r="G33" s="23" t="s">
        <v>321</v>
      </c>
      <c r="H33" s="22" t="s">
        <v>322</v>
      </c>
      <c r="I33" s="22" t="s">
        <v>323</v>
      </c>
      <c r="J33" s="22" t="s">
        <v>324</v>
      </c>
    </row>
    <row r="34" spans="1:21" ht="14.25" x14ac:dyDescent="0.2">
      <c r="A34" s="22">
        <v>1</v>
      </c>
      <c r="B34" s="22">
        <v>2</v>
      </c>
      <c r="C34" s="22">
        <v>3</v>
      </c>
      <c r="D34" s="22">
        <v>4</v>
      </c>
      <c r="E34" s="22">
        <v>5</v>
      </c>
      <c r="F34" s="22">
        <v>6</v>
      </c>
      <c r="G34" s="22">
        <v>7</v>
      </c>
      <c r="H34" s="22">
        <v>8</v>
      </c>
      <c r="I34" s="22">
        <v>9</v>
      </c>
      <c r="J34" s="22">
        <v>10</v>
      </c>
    </row>
    <row r="36" spans="1:21" ht="16.5" x14ac:dyDescent="0.25">
      <c r="A36" s="57" t="str">
        <f>CONCATENATE("Раздел: ",IF(Source!G24&lt;&gt;"Новый раздел", Source!G24, ""))</f>
        <v>Раздел: Демонтажные работы</v>
      </c>
      <c r="B36" s="57"/>
      <c r="C36" s="57"/>
      <c r="D36" s="57"/>
      <c r="E36" s="57"/>
      <c r="F36" s="57"/>
      <c r="G36" s="57"/>
      <c r="H36" s="57"/>
      <c r="I36" s="57"/>
      <c r="J36" s="57"/>
    </row>
    <row r="37" spans="1:21" ht="28.5" x14ac:dyDescent="0.2">
      <c r="A37" s="24" t="str">
        <f>Source!E28</f>
        <v>1</v>
      </c>
      <c r="B37" s="25" t="str">
        <f>Source!F28</f>
        <v>27-03-010-01</v>
      </c>
      <c r="C37" s="25" t="str">
        <f>Source!G28</f>
        <v>Разборка бортовых камней на бетонном основании</v>
      </c>
      <c r="D37" s="26" t="str">
        <f>Source!H28</f>
        <v>100 м</v>
      </c>
      <c r="E37" s="10">
        <f>Source!I28</f>
        <v>3.84</v>
      </c>
      <c r="F37" s="19"/>
      <c r="G37" s="27"/>
      <c r="H37" s="19"/>
      <c r="I37" s="27" t="str">
        <f>Source!BO28</f>
        <v>27-03-010-01</v>
      </c>
      <c r="J37" s="19"/>
      <c r="R37">
        <f>ROUND((Source!FX28/100)*((ROUND(Source!AF28*Source!I28, 2)+ROUND(Source!AE28*Source!I28, 2))), 2)</f>
        <v>3354.18</v>
      </c>
      <c r="S37">
        <f>Source!X28</f>
        <v>70767.55</v>
      </c>
      <c r="T37">
        <f>ROUND((Source!FY28/100)*((ROUND(Source!AF28*Source!I28, 2)+ROUND(Source!AE28*Source!I28, 2))), 2)</f>
        <v>2244</v>
      </c>
      <c r="U37">
        <f>Source!Y28</f>
        <v>44449.04</v>
      </c>
    </row>
    <row r="38" spans="1:21" ht="14.25" x14ac:dyDescent="0.2">
      <c r="A38" s="24"/>
      <c r="B38" s="25"/>
      <c r="C38" s="25" t="s">
        <v>325</v>
      </c>
      <c r="D38" s="26"/>
      <c r="E38" s="10"/>
      <c r="F38" s="19">
        <f>Source!AO28</f>
        <v>615.13</v>
      </c>
      <c r="G38" s="27" t="str">
        <f>Source!DG28</f>
        <v/>
      </c>
      <c r="H38" s="19">
        <f>ROUND(Source!AF28*Source!I28, 2)</f>
        <v>2362.1</v>
      </c>
      <c r="I38" s="27">
        <f>IF(Source!BA28&lt;&gt; 0, Source!BA28, 1)</f>
        <v>24.76</v>
      </c>
      <c r="J38" s="19">
        <f>Source!S28</f>
        <v>58485.58</v>
      </c>
      <c r="Q38">
        <f>ROUND(Source!AF28*Source!I28, 2)</f>
        <v>2362.1</v>
      </c>
    </row>
    <row r="39" spans="1:21" ht="14.25" x14ac:dyDescent="0.2">
      <c r="A39" s="24"/>
      <c r="B39" s="25"/>
      <c r="C39" s="25" t="str">
        <f>CONCATENATE("НР от ФОТ [к тек. уровню ", Source!FV28, "]")</f>
        <v>НР от ФОТ [к тек. уровню *0,85]</v>
      </c>
      <c r="D39" s="26" t="s">
        <v>326</v>
      </c>
      <c r="E39" s="10">
        <f>Source!BZ28</f>
        <v>142</v>
      </c>
      <c r="F39" s="19"/>
      <c r="G39" s="27"/>
      <c r="H39" s="19">
        <f>SUM(R37:R38)</f>
        <v>3354.18</v>
      </c>
      <c r="I39" s="27">
        <f>Source!AT28</f>
        <v>121</v>
      </c>
      <c r="J39" s="19">
        <f>SUM(S37:S38)</f>
        <v>70767.55</v>
      </c>
    </row>
    <row r="40" spans="1:21" ht="14.25" x14ac:dyDescent="0.2">
      <c r="A40" s="24"/>
      <c r="B40" s="25"/>
      <c r="C40" s="25" t="str">
        <f>CONCATENATE("СП от ФОТ [к тек. уровню ", Source!FW28, "]")</f>
        <v>СП от ФОТ [к тек. уровню *0,8]</v>
      </c>
      <c r="D40" s="26" t="s">
        <v>326</v>
      </c>
      <c r="E40" s="10">
        <f>Source!CA28</f>
        <v>95</v>
      </c>
      <c r="F40" s="19"/>
      <c r="G40" s="27"/>
      <c r="H40" s="19">
        <f>SUM(T37:T39)</f>
        <v>2244</v>
      </c>
      <c r="I40" s="27">
        <f>Source!AU28</f>
        <v>76</v>
      </c>
      <c r="J40" s="19">
        <f>SUM(U37:U39)</f>
        <v>44449.04</v>
      </c>
    </row>
    <row r="41" spans="1:21" ht="14.25" x14ac:dyDescent="0.2">
      <c r="A41" s="30"/>
      <c r="B41" s="31"/>
      <c r="C41" s="31" t="s">
        <v>327</v>
      </c>
      <c r="D41" s="32" t="s">
        <v>328</v>
      </c>
      <c r="E41" s="33">
        <f>Source!AQ28</f>
        <v>76.7</v>
      </c>
      <c r="F41" s="34"/>
      <c r="G41" s="35" t="str">
        <f>Source!DI28</f>
        <v/>
      </c>
      <c r="H41" s="34">
        <f>Source!U28</f>
        <v>294.52800000000002</v>
      </c>
      <c r="I41" s="35"/>
      <c r="J41" s="34"/>
    </row>
    <row r="42" spans="1:21" ht="15" x14ac:dyDescent="0.25">
      <c r="C42" s="28" t="s">
        <v>329</v>
      </c>
      <c r="G42" s="58">
        <f>ROUND(Source!AC28*Source!I28, 2)+ROUND(Source!AF28*Source!I28, 2)+ROUND(Source!AD28*Source!I28, 2)+SUM(H39:H40)</f>
        <v>7960.2800000000007</v>
      </c>
      <c r="H42" s="58"/>
      <c r="I42" s="58">
        <f>Source!P28+Source!Q28+Source!S28+SUM(J39:J40)</f>
        <v>173702.16999999998</v>
      </c>
      <c r="J42" s="58"/>
      <c r="O42" s="29">
        <f>G42</f>
        <v>7960.2800000000007</v>
      </c>
      <c r="P42" s="29">
        <f>I42</f>
        <v>173702.16999999998</v>
      </c>
    </row>
    <row r="43" spans="1:21" ht="28.5" x14ac:dyDescent="0.2">
      <c r="A43" s="24" t="str">
        <f>Source!E29</f>
        <v>2</v>
      </c>
      <c r="B43" s="25" t="str">
        <f>Source!F29</f>
        <v>27-03-008-04</v>
      </c>
      <c r="C43" s="25" t="str">
        <f>Source!G29</f>
        <v>Разборка покрытий и оснований асфальтобетонных</v>
      </c>
      <c r="D43" s="26" t="str">
        <f>Source!H29</f>
        <v>100 м3</v>
      </c>
      <c r="E43" s="10">
        <f>Source!I29</f>
        <v>0.192</v>
      </c>
      <c r="F43" s="19"/>
      <c r="G43" s="27"/>
      <c r="H43" s="19"/>
      <c r="I43" s="27" t="str">
        <f>Source!BO29</f>
        <v>27-03-008-04</v>
      </c>
      <c r="J43" s="19"/>
      <c r="R43">
        <f>ROUND((Source!FX29/100)*((ROUND(Source!AF29*Source!I29, 2)+ROUND(Source!AE29*Source!I29, 2))), 2)</f>
        <v>533.96</v>
      </c>
      <c r="S43">
        <f>Source!X29</f>
        <v>11265.83</v>
      </c>
      <c r="T43">
        <f>ROUND((Source!FY29/100)*((ROUND(Source!AF29*Source!I29, 2)+ROUND(Source!AE29*Source!I29, 2))), 2)</f>
        <v>357.23</v>
      </c>
      <c r="U43">
        <f>Source!Y29</f>
        <v>7076.06</v>
      </c>
    </row>
    <row r="44" spans="1:21" ht="14.25" x14ac:dyDescent="0.2">
      <c r="A44" s="24"/>
      <c r="B44" s="25"/>
      <c r="C44" s="25" t="s">
        <v>325</v>
      </c>
      <c r="D44" s="26"/>
      <c r="E44" s="10"/>
      <c r="F44" s="19">
        <f>Source!AO29</f>
        <v>1494.14</v>
      </c>
      <c r="G44" s="27" t="str">
        <f>Source!DG29</f>
        <v/>
      </c>
      <c r="H44" s="19">
        <f>ROUND(Source!AF29*Source!I29, 2)</f>
        <v>286.87</v>
      </c>
      <c r="I44" s="27">
        <f>IF(Source!BA29&lt;&gt; 0, Source!BA29, 1)</f>
        <v>24.76</v>
      </c>
      <c r="J44" s="19">
        <f>Source!S29</f>
        <v>7103.02</v>
      </c>
      <c r="Q44">
        <f>ROUND(Source!AF29*Source!I29, 2)</f>
        <v>286.87</v>
      </c>
    </row>
    <row r="45" spans="1:21" ht="14.25" x14ac:dyDescent="0.2">
      <c r="A45" s="24"/>
      <c r="B45" s="25"/>
      <c r="C45" s="25" t="s">
        <v>330</v>
      </c>
      <c r="D45" s="26"/>
      <c r="E45" s="10"/>
      <c r="F45" s="19">
        <f>Source!AM29</f>
        <v>4292.7299999999996</v>
      </c>
      <c r="G45" s="27" t="str">
        <f>Source!DE29</f>
        <v/>
      </c>
      <c r="H45" s="19">
        <f>ROUND(Source!AD29*Source!I29, 2)</f>
        <v>824.2</v>
      </c>
      <c r="I45" s="27">
        <f>IF(Source!BB29&lt;&gt; 0, Source!BB29, 1)</f>
        <v>6.88</v>
      </c>
      <c r="J45" s="19">
        <f>Source!Q29</f>
        <v>5670.52</v>
      </c>
    </row>
    <row r="46" spans="1:21" ht="14.25" x14ac:dyDescent="0.2">
      <c r="A46" s="24"/>
      <c r="B46" s="25"/>
      <c r="C46" s="25" t="s">
        <v>331</v>
      </c>
      <c r="D46" s="26"/>
      <c r="E46" s="10"/>
      <c r="F46" s="19">
        <f>Source!AN29</f>
        <v>464.37</v>
      </c>
      <c r="G46" s="27" t="str">
        <f>Source!DF29</f>
        <v/>
      </c>
      <c r="H46" s="36">
        <f>ROUND(Source!AE29*Source!I29, 2)</f>
        <v>89.16</v>
      </c>
      <c r="I46" s="27">
        <f>IF(Source!BS29&lt;&gt; 0, Source!BS29, 1)</f>
        <v>24.76</v>
      </c>
      <c r="J46" s="36">
        <f>Source!R29</f>
        <v>2207.58</v>
      </c>
      <c r="Q46">
        <f>ROUND(Source!AE29*Source!I29, 2)</f>
        <v>89.16</v>
      </c>
    </row>
    <row r="47" spans="1:21" ht="14.25" x14ac:dyDescent="0.2">
      <c r="A47" s="24"/>
      <c r="B47" s="25"/>
      <c r="C47" s="25" t="str">
        <f>CONCATENATE("НР от ФОТ [к тек. уровню ", Source!FV29, "]")</f>
        <v>НР от ФОТ [к тек. уровню *0,85]</v>
      </c>
      <c r="D47" s="26" t="s">
        <v>326</v>
      </c>
      <c r="E47" s="10">
        <f>Source!BZ29</f>
        <v>142</v>
      </c>
      <c r="F47" s="19"/>
      <c r="G47" s="27"/>
      <c r="H47" s="19">
        <f>SUM(R43:R46)</f>
        <v>533.96</v>
      </c>
      <c r="I47" s="27">
        <f>Source!AT29</f>
        <v>121</v>
      </c>
      <c r="J47" s="19">
        <f>SUM(S43:S46)</f>
        <v>11265.83</v>
      </c>
    </row>
    <row r="48" spans="1:21" ht="14.25" x14ac:dyDescent="0.2">
      <c r="A48" s="24"/>
      <c r="B48" s="25"/>
      <c r="C48" s="25" t="str">
        <f>CONCATENATE("СП от ФОТ [к тек. уровню ", Source!FW29, "]")</f>
        <v>СП от ФОТ [к тек. уровню *0,8]</v>
      </c>
      <c r="D48" s="26" t="s">
        <v>326</v>
      </c>
      <c r="E48" s="10">
        <f>Source!CA29</f>
        <v>95</v>
      </c>
      <c r="F48" s="19"/>
      <c r="G48" s="27"/>
      <c r="H48" s="19">
        <f>SUM(T43:T47)</f>
        <v>357.23</v>
      </c>
      <c r="I48" s="27">
        <f>Source!AU29</f>
        <v>76</v>
      </c>
      <c r="J48" s="19">
        <f>SUM(U43:U47)</f>
        <v>7076.06</v>
      </c>
    </row>
    <row r="49" spans="1:21" ht="14.25" x14ac:dyDescent="0.2">
      <c r="A49" s="30"/>
      <c r="B49" s="31"/>
      <c r="C49" s="31" t="s">
        <v>327</v>
      </c>
      <c r="D49" s="32" t="s">
        <v>328</v>
      </c>
      <c r="E49" s="33">
        <f>Source!AQ29</f>
        <v>179.8</v>
      </c>
      <c r="F49" s="34"/>
      <c r="G49" s="35" t="str">
        <f>Source!DI29</f>
        <v/>
      </c>
      <c r="H49" s="34">
        <f>Source!U29</f>
        <v>34.521599999999999</v>
      </c>
      <c r="I49" s="35"/>
      <c r="J49" s="34"/>
    </row>
    <row r="50" spans="1:21" ht="15" x14ac:dyDescent="0.25">
      <c r="C50" s="28" t="s">
        <v>329</v>
      </c>
      <c r="G50" s="58">
        <f>ROUND(Source!AC29*Source!I29, 2)+ROUND(Source!AF29*Source!I29, 2)+ROUND(Source!AD29*Source!I29, 2)+SUM(H47:H48)</f>
        <v>2002.2600000000002</v>
      </c>
      <c r="H50" s="58"/>
      <c r="I50" s="58">
        <f>Source!P29+Source!Q29+Source!S29+SUM(J47:J48)</f>
        <v>31115.43</v>
      </c>
      <c r="J50" s="58"/>
      <c r="O50" s="29">
        <f>G50</f>
        <v>2002.2600000000002</v>
      </c>
      <c r="P50" s="29">
        <f>I50</f>
        <v>31115.43</v>
      </c>
    </row>
    <row r="51" spans="1:21" ht="28.5" x14ac:dyDescent="0.2">
      <c r="A51" s="24" t="str">
        <f>Source!E30</f>
        <v>3</v>
      </c>
      <c r="B51" s="25" t="str">
        <f>Source!F30</f>
        <v>27-03-008-05</v>
      </c>
      <c r="C51" s="25" t="str">
        <f>Source!G30</f>
        <v>Разборка покрытий и оснований цементно-бетонных</v>
      </c>
      <c r="D51" s="26" t="str">
        <f>Source!H30</f>
        <v>100 м3</v>
      </c>
      <c r="E51" s="10">
        <f>Source!I30</f>
        <v>0.23039999999999999</v>
      </c>
      <c r="F51" s="19"/>
      <c r="G51" s="27"/>
      <c r="H51" s="19"/>
      <c r="I51" s="27" t="str">
        <f>Source!BO30</f>
        <v>27-03-008-05</v>
      </c>
      <c r="J51" s="19"/>
      <c r="R51">
        <f>ROUND((Source!FX30/100)*((ROUND(Source!AF30*Source!I30, 2)+ROUND(Source!AE30*Source!I30, 2))), 2)</f>
        <v>201.43</v>
      </c>
      <c r="S51">
        <f>Source!X30</f>
        <v>4249.92</v>
      </c>
      <c r="T51">
        <f>ROUND((Source!FY30/100)*((ROUND(Source!AF30*Source!I30, 2)+ROUND(Source!AE30*Source!I30, 2))), 2)</f>
        <v>134.76</v>
      </c>
      <c r="U51">
        <f>Source!Y30</f>
        <v>2669.37</v>
      </c>
    </row>
    <row r="52" spans="1:21" ht="14.25" x14ac:dyDescent="0.2">
      <c r="A52" s="24"/>
      <c r="B52" s="25"/>
      <c r="C52" s="25" t="s">
        <v>325</v>
      </c>
      <c r="D52" s="26"/>
      <c r="E52" s="10"/>
      <c r="F52" s="19">
        <f>Source!AO30</f>
        <v>447.88</v>
      </c>
      <c r="G52" s="27" t="str">
        <f>Source!DG30</f>
        <v/>
      </c>
      <c r="H52" s="19">
        <f>ROUND(Source!AF30*Source!I30, 2)</f>
        <v>103.19</v>
      </c>
      <c r="I52" s="27">
        <f>IF(Source!BA30&lt;&gt; 0, Source!BA30, 1)</f>
        <v>24.76</v>
      </c>
      <c r="J52" s="19">
        <f>Source!S30</f>
        <v>2555.02</v>
      </c>
      <c r="Q52">
        <f>ROUND(Source!AF30*Source!I30, 2)</f>
        <v>103.19</v>
      </c>
    </row>
    <row r="53" spans="1:21" ht="14.25" x14ac:dyDescent="0.2">
      <c r="A53" s="24"/>
      <c r="B53" s="25"/>
      <c r="C53" s="25" t="s">
        <v>330</v>
      </c>
      <c r="D53" s="26"/>
      <c r="E53" s="10"/>
      <c r="F53" s="19">
        <f>Source!AM30</f>
        <v>1318.41</v>
      </c>
      <c r="G53" s="27" t="str">
        <f>Source!DE30</f>
        <v/>
      </c>
      <c r="H53" s="19">
        <f>ROUND(Source!AD30*Source!I30, 2)</f>
        <v>303.76</v>
      </c>
      <c r="I53" s="27">
        <f>IF(Source!BB30&lt;&gt; 0, Source!BB30, 1)</f>
        <v>8.4600000000000009</v>
      </c>
      <c r="J53" s="19">
        <f>Source!Q30</f>
        <v>2569.8200000000002</v>
      </c>
    </row>
    <row r="54" spans="1:21" ht="14.25" x14ac:dyDescent="0.2">
      <c r="A54" s="24"/>
      <c r="B54" s="25"/>
      <c r="C54" s="25" t="s">
        <v>331</v>
      </c>
      <c r="D54" s="26"/>
      <c r="E54" s="10"/>
      <c r="F54" s="19">
        <f>Source!AN30</f>
        <v>167.81</v>
      </c>
      <c r="G54" s="27" t="str">
        <f>Source!DF30</f>
        <v/>
      </c>
      <c r="H54" s="36">
        <f>ROUND(Source!AE30*Source!I30, 2)</f>
        <v>38.659999999999997</v>
      </c>
      <c r="I54" s="27">
        <f>IF(Source!BS30&lt;&gt; 0, Source!BS30, 1)</f>
        <v>24.76</v>
      </c>
      <c r="J54" s="36">
        <f>Source!R30</f>
        <v>957.31</v>
      </c>
      <c r="Q54">
        <f>ROUND(Source!AE30*Source!I30, 2)</f>
        <v>38.659999999999997</v>
      </c>
    </row>
    <row r="55" spans="1:21" ht="14.25" x14ac:dyDescent="0.2">
      <c r="A55" s="24"/>
      <c r="B55" s="25"/>
      <c r="C55" s="25" t="str">
        <f>CONCATENATE("НР от ФОТ [к тек. уровню ", Source!FV30, "]")</f>
        <v>НР от ФОТ [к тек. уровню *0,85]</v>
      </c>
      <c r="D55" s="26" t="s">
        <v>326</v>
      </c>
      <c r="E55" s="10">
        <f>Source!BZ30</f>
        <v>142</v>
      </c>
      <c r="F55" s="19"/>
      <c r="G55" s="27"/>
      <c r="H55" s="19">
        <f>SUM(R51:R54)</f>
        <v>201.43</v>
      </c>
      <c r="I55" s="27">
        <f>Source!AT30</f>
        <v>121</v>
      </c>
      <c r="J55" s="19">
        <f>SUM(S51:S54)</f>
        <v>4249.92</v>
      </c>
    </row>
    <row r="56" spans="1:21" ht="14.25" x14ac:dyDescent="0.2">
      <c r="A56" s="24"/>
      <c r="B56" s="25"/>
      <c r="C56" s="25" t="str">
        <f>CONCATENATE("СП от ФОТ [к тек. уровню ", Source!FW30, "]")</f>
        <v>СП от ФОТ [к тек. уровню *0,8]</v>
      </c>
      <c r="D56" s="26" t="s">
        <v>326</v>
      </c>
      <c r="E56" s="10">
        <f>Source!CA30</f>
        <v>95</v>
      </c>
      <c r="F56" s="19"/>
      <c r="G56" s="27"/>
      <c r="H56" s="19">
        <f>SUM(T51:T55)</f>
        <v>134.76</v>
      </c>
      <c r="I56" s="27">
        <f>Source!AU30</f>
        <v>76</v>
      </c>
      <c r="J56" s="19">
        <f>SUM(U51:U55)</f>
        <v>2669.37</v>
      </c>
    </row>
    <row r="57" spans="1:21" ht="14.25" x14ac:dyDescent="0.2">
      <c r="A57" s="30"/>
      <c r="B57" s="31"/>
      <c r="C57" s="31" t="s">
        <v>327</v>
      </c>
      <c r="D57" s="32" t="s">
        <v>328</v>
      </c>
      <c r="E57" s="33">
        <f>Source!AQ30</f>
        <v>57.42</v>
      </c>
      <c r="F57" s="34"/>
      <c r="G57" s="35" t="str">
        <f>Source!DI30</f>
        <v/>
      </c>
      <c r="H57" s="34">
        <f>Source!U30</f>
        <v>13.229568</v>
      </c>
      <c r="I57" s="35"/>
      <c r="J57" s="34"/>
    </row>
    <row r="58" spans="1:21" ht="15" x14ac:dyDescent="0.25">
      <c r="C58" s="28" t="s">
        <v>329</v>
      </c>
      <c r="G58" s="58">
        <f>ROUND(Source!AC30*Source!I30, 2)+ROUND(Source!AF30*Source!I30, 2)+ROUND(Source!AD30*Source!I30, 2)+SUM(H55:H56)</f>
        <v>743.14</v>
      </c>
      <c r="H58" s="58"/>
      <c r="I58" s="58">
        <f>Source!P30+Source!Q30+Source!S30+SUM(J55:J56)</f>
        <v>12044.130000000001</v>
      </c>
      <c r="J58" s="58"/>
      <c r="O58" s="29">
        <f>G58</f>
        <v>743.14</v>
      </c>
      <c r="P58" s="29">
        <f>I58</f>
        <v>12044.130000000001</v>
      </c>
    </row>
    <row r="59" spans="1:21" ht="71.25" x14ac:dyDescent="0.2">
      <c r="A59" s="30" t="str">
        <f>Source!E31</f>
        <v>4</v>
      </c>
      <c r="B59" s="31" t="str">
        <f>Source!F31</f>
        <v>т01-01-01-043</v>
      </c>
      <c r="C59" s="31" t="str">
        <f>Source!G31</f>
        <v>Погрузочные работы при автомобильных перевозках мусора строительного с погрузкой экскаваторами емкостью ковша до 0,5 м3</v>
      </c>
      <c r="D59" s="32" t="str">
        <f>Source!H31</f>
        <v>1 Т ГРУЗА</v>
      </c>
      <c r="E59" s="33">
        <f>Source!I31</f>
        <v>107.14</v>
      </c>
      <c r="F59" s="34">
        <f>Source!AK31</f>
        <v>3.28</v>
      </c>
      <c r="G59" s="35" t="str">
        <f>Source!DC31</f>
        <v/>
      </c>
      <c r="H59" s="34">
        <f>ROUND(Source!AB31*Source!I31, 2)</f>
        <v>351.42</v>
      </c>
      <c r="I59" s="35">
        <f>Source!AZ31</f>
        <v>9.64</v>
      </c>
      <c r="J59" s="34">
        <f>Source!GM31</f>
        <v>3387.68</v>
      </c>
      <c r="R59">
        <f>ROUND((Source!FX31/100)*((ROUND(0*Source!I31, 2)+ROUND(0*Source!I31, 2))), 2)</f>
        <v>0</v>
      </c>
      <c r="S59">
        <f>Source!X31</f>
        <v>0</v>
      </c>
      <c r="T59">
        <f>ROUND((Source!FY31/100)*((ROUND(0*Source!I31, 2)+ROUND(0*Source!I31, 2))), 2)</f>
        <v>0</v>
      </c>
      <c r="U59">
        <f>Source!Y31</f>
        <v>0</v>
      </c>
    </row>
    <row r="60" spans="1:21" ht="15" x14ac:dyDescent="0.25">
      <c r="C60" s="28" t="s">
        <v>329</v>
      </c>
      <c r="G60" s="58">
        <f>H59</f>
        <v>351.42</v>
      </c>
      <c r="H60" s="58"/>
      <c r="I60" s="58">
        <f>J59</f>
        <v>3387.68</v>
      </c>
      <c r="J60" s="58"/>
      <c r="O60" s="29">
        <f>G60</f>
        <v>351.42</v>
      </c>
      <c r="P60" s="29">
        <f>I60</f>
        <v>3387.68</v>
      </c>
    </row>
    <row r="61" spans="1:21" ht="57" x14ac:dyDescent="0.2">
      <c r="A61" s="30" t="str">
        <f>Source!E32</f>
        <v>5</v>
      </c>
      <c r="B61" s="31" t="str">
        <f>Source!F32</f>
        <v>т03-21-01-057</v>
      </c>
      <c r="C61" s="31" t="str">
        <f>Source!G32</f>
        <v>Перевозка грузов I класса автомобилями-самосвалами грузоподъемностью 10 т работающих вне карьера на расстояние до 57 км</v>
      </c>
      <c r="D61" s="32" t="str">
        <f>Source!H32</f>
        <v>1 Т ГРУЗА</v>
      </c>
      <c r="E61" s="33">
        <f>Source!I32</f>
        <v>107.14</v>
      </c>
      <c r="F61" s="34">
        <f>Source!AK32</f>
        <v>29.92</v>
      </c>
      <c r="G61" s="35" t="str">
        <f>Source!DC32</f>
        <v/>
      </c>
      <c r="H61" s="34">
        <f>ROUND(Source!AB32*Source!I32, 2)</f>
        <v>3205.63</v>
      </c>
      <c r="I61" s="35">
        <f>Source!AZ32</f>
        <v>7.48</v>
      </c>
      <c r="J61" s="34">
        <f>Source!GM32</f>
        <v>23978.1</v>
      </c>
      <c r="R61">
        <f>ROUND((Source!FX32/100)*((ROUND(0*Source!I32, 2)+ROUND(0*Source!I32, 2))), 2)</f>
        <v>0</v>
      </c>
      <c r="S61">
        <f>Source!X32</f>
        <v>0</v>
      </c>
      <c r="T61">
        <f>ROUND((Source!FY32/100)*((ROUND(0*Source!I32, 2)+ROUND(0*Source!I32, 2))), 2)</f>
        <v>0</v>
      </c>
      <c r="U61">
        <f>Source!Y32</f>
        <v>0</v>
      </c>
    </row>
    <row r="62" spans="1:21" ht="15" x14ac:dyDescent="0.25">
      <c r="C62" s="28" t="s">
        <v>329</v>
      </c>
      <c r="G62" s="58">
        <f>H61</f>
        <v>3205.63</v>
      </c>
      <c r="H62" s="58"/>
      <c r="I62" s="58">
        <f>J61</f>
        <v>23978.1</v>
      </c>
      <c r="J62" s="58"/>
      <c r="O62" s="29">
        <f>G62</f>
        <v>3205.63</v>
      </c>
      <c r="P62" s="29">
        <f>I62</f>
        <v>23978.1</v>
      </c>
    </row>
    <row r="63" spans="1:21" ht="126.75" x14ac:dyDescent="0.2">
      <c r="A63" s="30" t="str">
        <f>Source!E33</f>
        <v>6</v>
      </c>
      <c r="B63" s="31" t="str">
        <f>Source!F33</f>
        <v>Приказ ОДПС Сколково № 189 от 26.09.13г.</v>
      </c>
      <c r="C63" s="31" t="s">
        <v>332</v>
      </c>
      <c r="D63" s="32" t="str">
        <f>Source!H33</f>
        <v>т</v>
      </c>
      <c r="E63" s="33">
        <f>Source!I33</f>
        <v>36.479999999999997</v>
      </c>
      <c r="F63" s="34">
        <f>Source!AL33</f>
        <v>12.44</v>
      </c>
      <c r="G63" s="35" t="str">
        <f>Source!DD33</f>
        <v/>
      </c>
      <c r="H63" s="34">
        <f>ROUND(Source!AC33*Source!I33, 2)</f>
        <v>453.81</v>
      </c>
      <c r="I63" s="35">
        <f>IF(Source!BC33&lt;&gt; 0, Source!BC33, 1)</f>
        <v>9.99</v>
      </c>
      <c r="J63" s="34">
        <f>Source!P33</f>
        <v>4533.57</v>
      </c>
      <c r="R63">
        <f>ROUND((Source!FX33/100)*((ROUND(Source!AF33*Source!I33, 2)+ROUND(Source!AE33*Source!I33, 2))), 2)</f>
        <v>0</v>
      </c>
      <c r="S63">
        <f>Source!X33</f>
        <v>0</v>
      </c>
      <c r="T63">
        <f>ROUND((Source!FY33/100)*((ROUND(Source!AF33*Source!I33, 2)+ROUND(Source!AE33*Source!I33, 2))), 2)</f>
        <v>0</v>
      </c>
      <c r="U63">
        <f>Source!Y33</f>
        <v>0</v>
      </c>
    </row>
    <row r="64" spans="1:21" ht="15" x14ac:dyDescent="0.25">
      <c r="C64" s="28" t="s">
        <v>329</v>
      </c>
      <c r="G64" s="58">
        <f>ROUND(Source!AC33*Source!I33, 2)+ROUND(Source!AF33*Source!I33, 2)+ROUND(Source!AD33*Source!I33, 2)</f>
        <v>453.81</v>
      </c>
      <c r="H64" s="58"/>
      <c r="I64" s="58">
        <f>Source!P33+Source!Q33+Source!S33</f>
        <v>4533.57</v>
      </c>
      <c r="J64" s="58"/>
      <c r="O64">
        <f>G64</f>
        <v>453.81</v>
      </c>
      <c r="P64">
        <f>I64</f>
        <v>4533.57</v>
      </c>
    </row>
    <row r="65" spans="1:21" ht="126.75" x14ac:dyDescent="0.2">
      <c r="A65" s="30" t="str">
        <f>Source!E34</f>
        <v>7</v>
      </c>
      <c r="B65" s="31" t="str">
        <f>Source!F34</f>
        <v>Приказ ОДПС Сколково № 189 от 26.09.13г.</v>
      </c>
      <c r="C65" s="31" t="s">
        <v>333</v>
      </c>
      <c r="D65" s="32" t="str">
        <f>Source!H34</f>
        <v>т</v>
      </c>
      <c r="E65" s="33">
        <f>Source!I34</f>
        <v>70.66</v>
      </c>
      <c r="F65" s="34">
        <f>Source!AL34</f>
        <v>22.62</v>
      </c>
      <c r="G65" s="35" t="str">
        <f>Source!DD34</f>
        <v/>
      </c>
      <c r="H65" s="34">
        <f>ROUND(Source!AC34*Source!I34, 2)</f>
        <v>1598.33</v>
      </c>
      <c r="I65" s="35">
        <f>IF(Source!BC34&lt;&gt; 0, Source!BC34, 1)</f>
        <v>9.99</v>
      </c>
      <c r="J65" s="34">
        <f>Source!P34</f>
        <v>15967.31</v>
      </c>
      <c r="R65">
        <f>ROUND((Source!FX34/100)*((ROUND(Source!AF34*Source!I34, 2)+ROUND(Source!AE34*Source!I34, 2))), 2)</f>
        <v>0</v>
      </c>
      <c r="S65">
        <f>Source!X34</f>
        <v>0</v>
      </c>
      <c r="T65">
        <f>ROUND((Source!FY34/100)*((ROUND(Source!AF34*Source!I34, 2)+ROUND(Source!AE34*Source!I34, 2))), 2)</f>
        <v>0</v>
      </c>
      <c r="U65">
        <f>Source!Y34</f>
        <v>0</v>
      </c>
    </row>
    <row r="66" spans="1:21" ht="15" x14ac:dyDescent="0.25">
      <c r="C66" s="28" t="s">
        <v>329</v>
      </c>
      <c r="G66" s="58">
        <f>ROUND(Source!AC34*Source!I34, 2)+ROUND(Source!AF34*Source!I34, 2)+ROUND(Source!AD34*Source!I34, 2)</f>
        <v>1598.33</v>
      </c>
      <c r="H66" s="58"/>
      <c r="I66" s="58">
        <f>Source!P34+Source!Q34+Source!S34</f>
        <v>15967.31</v>
      </c>
      <c r="J66" s="58"/>
      <c r="O66">
        <f>G66</f>
        <v>1598.33</v>
      </c>
      <c r="P66">
        <f>I66</f>
        <v>15967.31</v>
      </c>
    </row>
    <row r="68" spans="1:21" ht="15" x14ac:dyDescent="0.25">
      <c r="A68" s="43" t="str">
        <f>CONCATENATE("Итого по разделу: ",IF(Source!G36&lt;&gt;"Новый раздел", Source!G36, ""))</f>
        <v>Итого по разделу: Демонтажные работы</v>
      </c>
      <c r="B68" s="43"/>
      <c r="C68" s="43"/>
      <c r="D68" s="43"/>
      <c r="E68" s="43"/>
      <c r="F68" s="43"/>
      <c r="G68" s="58">
        <f>SUM(O36:O67)</f>
        <v>16314.869999999999</v>
      </c>
      <c r="H68" s="58"/>
      <c r="I68" s="58">
        <f>SUM(P36:P67)</f>
        <v>264728.39</v>
      </c>
      <c r="J68" s="58"/>
    </row>
    <row r="72" spans="1:21" ht="16.5" x14ac:dyDescent="0.25">
      <c r="A72" s="57" t="str">
        <f>CONCATENATE("Раздел: ",IF(Source!G65&lt;&gt;"Новый раздел", Source!G65, ""))</f>
        <v>Раздел: Озеленение</v>
      </c>
      <c r="B72" s="57"/>
      <c r="C72" s="57"/>
      <c r="D72" s="57"/>
      <c r="E72" s="57"/>
      <c r="F72" s="57"/>
      <c r="G72" s="57"/>
      <c r="H72" s="57"/>
      <c r="I72" s="57"/>
      <c r="J72" s="57"/>
    </row>
    <row r="73" spans="1:21" ht="85.5" x14ac:dyDescent="0.2">
      <c r="A73" s="24" t="str">
        <f>Source!E69</f>
        <v>8</v>
      </c>
      <c r="B73" s="25" t="str">
        <f>Source!F69</f>
        <v>47-01-005-15</v>
      </c>
      <c r="C73" s="25" t="str">
        <f>Source!G69</f>
        <v>Подготовка стандартных посадочных мест механизированным способом для деревьев и кустарников с квадратным комом земли размером 1,0x1,0x0,6 м с добавлением растительной земли до 100%</v>
      </c>
      <c r="D73" s="26" t="str">
        <f>Source!H69</f>
        <v>10 ШТ</v>
      </c>
      <c r="E73" s="10">
        <f>Source!I69</f>
        <v>11</v>
      </c>
      <c r="F73" s="19"/>
      <c r="G73" s="27"/>
      <c r="H73" s="19"/>
      <c r="I73" s="27" t="str">
        <f>Source!BO69</f>
        <v/>
      </c>
      <c r="J73" s="19"/>
      <c r="R73">
        <f>ROUND((Source!FX69/100)*((ROUND(Source!AF69*Source!I69, 2)+ROUND(Source!AE69*Source!I69, 2))), 2)</f>
        <v>6870.09</v>
      </c>
      <c r="S73">
        <f>Source!X69</f>
        <v>144957.67000000001</v>
      </c>
      <c r="T73">
        <f>ROUND((Source!FY69/100)*((ROUND(Source!AF69*Source!I69, 2)+ROUND(Source!AE69*Source!I69, 2))), 2)</f>
        <v>5376.59</v>
      </c>
      <c r="U73">
        <f>Source!Y69</f>
        <v>106499.51</v>
      </c>
    </row>
    <row r="74" spans="1:21" ht="14.25" x14ac:dyDescent="0.2">
      <c r="A74" s="24"/>
      <c r="B74" s="25"/>
      <c r="C74" s="25" t="s">
        <v>325</v>
      </c>
      <c r="D74" s="26"/>
      <c r="E74" s="10"/>
      <c r="F74" s="19">
        <f>Source!AO69</f>
        <v>526.5</v>
      </c>
      <c r="G74" s="27" t="str">
        <f>Source!DG69</f>
        <v/>
      </c>
      <c r="H74" s="19">
        <f>ROUND(Source!AF69*Source!I69, 2)</f>
        <v>5791.5</v>
      </c>
      <c r="I74" s="27">
        <f>IF(Source!BA69&lt;&gt; 0, Source!BA69, 1)</f>
        <v>24.76</v>
      </c>
      <c r="J74" s="19">
        <f>Source!S69</f>
        <v>143397.54</v>
      </c>
      <c r="Q74">
        <f>ROUND(Source!AF69*Source!I69, 2)</f>
        <v>5791.5</v>
      </c>
    </row>
    <row r="75" spans="1:21" ht="14.25" x14ac:dyDescent="0.2">
      <c r="A75" s="24"/>
      <c r="B75" s="25"/>
      <c r="C75" s="25" t="s">
        <v>330</v>
      </c>
      <c r="D75" s="26"/>
      <c r="E75" s="10"/>
      <c r="F75" s="19">
        <f>Source!AM69</f>
        <v>100.11</v>
      </c>
      <c r="G75" s="27" t="str">
        <f>Source!DE69</f>
        <v/>
      </c>
      <c r="H75" s="19">
        <f>ROUND(Source!AD69*Source!I69, 2)</f>
        <v>1101.21</v>
      </c>
      <c r="I75" s="27">
        <f>IF(Source!BB69&lt;&gt; 0, Source!BB69, 1)</f>
        <v>8.98</v>
      </c>
      <c r="J75" s="19">
        <f>Source!Q69</f>
        <v>9888.8700000000008</v>
      </c>
    </row>
    <row r="76" spans="1:21" ht="14.25" x14ac:dyDescent="0.2">
      <c r="A76" s="24"/>
      <c r="B76" s="25"/>
      <c r="C76" s="25" t="s">
        <v>331</v>
      </c>
      <c r="D76" s="26"/>
      <c r="E76" s="10"/>
      <c r="F76" s="19">
        <f>Source!AN69</f>
        <v>16.59</v>
      </c>
      <c r="G76" s="27" t="str">
        <f>Source!DF69</f>
        <v/>
      </c>
      <c r="H76" s="36">
        <f>ROUND(Source!AE69*Source!I69, 2)</f>
        <v>182.49</v>
      </c>
      <c r="I76" s="27">
        <f>IF(Source!BS69&lt;&gt; 0, Source!BS69, 1)</f>
        <v>24.76</v>
      </c>
      <c r="J76" s="36">
        <f>Source!R69</f>
        <v>4518.45</v>
      </c>
      <c r="Q76">
        <f>ROUND(Source!AE69*Source!I69, 2)</f>
        <v>182.49</v>
      </c>
    </row>
    <row r="77" spans="1:21" ht="14.25" x14ac:dyDescent="0.2">
      <c r="A77" s="24"/>
      <c r="B77" s="25"/>
      <c r="C77" s="25" t="s">
        <v>334</v>
      </c>
      <c r="D77" s="26"/>
      <c r="E77" s="10"/>
      <c r="F77" s="19">
        <f>Source!AL69</f>
        <v>3086.46</v>
      </c>
      <c r="G77" s="27" t="str">
        <f>Source!DD69</f>
        <v/>
      </c>
      <c r="H77" s="19">
        <f>ROUND(Source!AC69*Source!I69, 2)</f>
        <v>33951.06</v>
      </c>
      <c r="I77" s="27">
        <f>IF(Source!BC69&lt;&gt; 0, Source!BC69, 1)</f>
        <v>5.08</v>
      </c>
      <c r="J77" s="19">
        <f>Source!P69</f>
        <v>172471.38</v>
      </c>
    </row>
    <row r="78" spans="1:21" ht="28.5" x14ac:dyDescent="0.2">
      <c r="A78" s="24" t="str">
        <f>Source!E70</f>
        <v>8,1</v>
      </c>
      <c r="B78" s="25" t="str">
        <f>Source!F70</f>
        <v>16.3.02.02-0002</v>
      </c>
      <c r="C78" s="25" t="str">
        <f>Source!G70</f>
        <v>Удобрения органо-минеральное "Универсал"</v>
      </c>
      <c r="D78" s="26" t="str">
        <f>Source!H70</f>
        <v>кг</v>
      </c>
      <c r="E78" s="10">
        <f>Source!I70</f>
        <v>11</v>
      </c>
      <c r="F78" s="19">
        <f>Source!AK70</f>
        <v>8.66</v>
      </c>
      <c r="G78" s="37" t="s">
        <v>3</v>
      </c>
      <c r="H78" s="19">
        <f>ROUND(Source!AC70*Source!I70, 2)+ROUND(Source!AD70*Source!I70, 2)+ROUND(Source!AF70*Source!I70, 2)</f>
        <v>95.26</v>
      </c>
      <c r="I78" s="27">
        <f>IF(Source!BC70&lt;&gt; 0, Source!BC70, 1)</f>
        <v>7.42</v>
      </c>
      <c r="J78" s="19">
        <f>Source!O70</f>
        <v>706.83</v>
      </c>
      <c r="R78">
        <f>ROUND((Source!FX70/100)*((ROUND(Source!AF70*Source!I70, 2)+ROUND(Source!AE70*Source!I70, 2))), 2)</f>
        <v>0</v>
      </c>
      <c r="S78">
        <f>Source!X70</f>
        <v>0</v>
      </c>
      <c r="T78">
        <f>ROUND((Source!FY70/100)*((ROUND(Source!AF70*Source!I70, 2)+ROUND(Source!AE70*Source!I70, 2))), 2)</f>
        <v>0</v>
      </c>
      <c r="U78">
        <f>Source!Y70</f>
        <v>0</v>
      </c>
    </row>
    <row r="79" spans="1:21" ht="14.25" x14ac:dyDescent="0.2">
      <c r="A79" s="24"/>
      <c r="B79" s="25"/>
      <c r="C79" s="25" t="str">
        <f>CONCATENATE("НР от ФОТ [к тек. уровню ", Source!FV69, "]")</f>
        <v>НР от ФОТ [к тек. уровню *0,85]</v>
      </c>
      <c r="D79" s="26" t="s">
        <v>326</v>
      </c>
      <c r="E79" s="10">
        <f>Source!BZ69</f>
        <v>115</v>
      </c>
      <c r="F79" s="19"/>
      <c r="G79" s="27"/>
      <c r="H79" s="19">
        <f>SUM(R73:R78)</f>
        <v>6870.09</v>
      </c>
      <c r="I79" s="27">
        <f>Source!AT69</f>
        <v>98</v>
      </c>
      <c r="J79" s="19">
        <f>SUM(S73:S78)</f>
        <v>144957.67000000001</v>
      </c>
    </row>
    <row r="80" spans="1:21" ht="14.25" x14ac:dyDescent="0.2">
      <c r="A80" s="24"/>
      <c r="B80" s="25"/>
      <c r="C80" s="25" t="str">
        <f>CONCATENATE("СП от ФОТ [к тек. уровню ", Source!FW69, "]")</f>
        <v>СП от ФОТ [к тек. уровню *0,8]</v>
      </c>
      <c r="D80" s="26" t="s">
        <v>326</v>
      </c>
      <c r="E80" s="10">
        <f>Source!CA69</f>
        <v>90</v>
      </c>
      <c r="F80" s="19"/>
      <c r="G80" s="27"/>
      <c r="H80" s="19">
        <f>SUM(T73:T79)</f>
        <v>5376.59</v>
      </c>
      <c r="I80" s="27">
        <f>Source!AU69</f>
        <v>72</v>
      </c>
      <c r="J80" s="19">
        <f>SUM(U73:U79)</f>
        <v>106499.51</v>
      </c>
    </row>
    <row r="81" spans="1:21" ht="14.25" x14ac:dyDescent="0.2">
      <c r="A81" s="30"/>
      <c r="B81" s="31"/>
      <c r="C81" s="31" t="s">
        <v>327</v>
      </c>
      <c r="D81" s="32" t="s">
        <v>328</v>
      </c>
      <c r="E81" s="33">
        <f>Source!AQ69</f>
        <v>67.5</v>
      </c>
      <c r="F81" s="34"/>
      <c r="G81" s="35" t="str">
        <f>Source!DI69</f>
        <v/>
      </c>
      <c r="H81" s="34">
        <f>Source!U69</f>
        <v>742.5</v>
      </c>
      <c r="I81" s="35"/>
      <c r="J81" s="34"/>
    </row>
    <row r="82" spans="1:21" ht="15" x14ac:dyDescent="0.25">
      <c r="C82" s="28" t="s">
        <v>329</v>
      </c>
      <c r="G82" s="58">
        <f>ROUND(Source!AC69*Source!I69, 2)+ROUND(Source!AF69*Source!I69, 2)+ROUND(Source!AD69*Source!I69, 2)+SUM(H78:H80)</f>
        <v>53185.71</v>
      </c>
      <c r="H82" s="58"/>
      <c r="I82" s="58">
        <f>Source!P69+Source!Q69+Source!S69+SUM(J78:J80)</f>
        <v>577921.80000000005</v>
      </c>
      <c r="J82" s="58"/>
      <c r="O82" s="29">
        <f>G82</f>
        <v>53185.71</v>
      </c>
      <c r="P82" s="29">
        <f>I82</f>
        <v>577921.80000000005</v>
      </c>
    </row>
    <row r="83" spans="1:21" ht="42.75" x14ac:dyDescent="0.2">
      <c r="A83" s="30" t="str">
        <f>Source!E71</f>
        <v>9</v>
      </c>
      <c r="B83" s="31" t="str">
        <f>Source!F71</f>
        <v>т01-01-01-039</v>
      </c>
      <c r="C83" s="31" t="str">
        <f>Source!G71</f>
        <v>Погрузочные работы при автомобильных перевозках грунта растительного слоя (земля, перегной)</v>
      </c>
      <c r="D83" s="32" t="str">
        <f>Source!H71</f>
        <v>1 Т ГРУЗА</v>
      </c>
      <c r="E83" s="33">
        <f>Source!I71</f>
        <v>540.32000000000005</v>
      </c>
      <c r="F83" s="34">
        <f>Source!AK71</f>
        <v>3.96</v>
      </c>
      <c r="G83" s="35" t="str">
        <f>Source!DC71</f>
        <v/>
      </c>
      <c r="H83" s="34">
        <f>ROUND(Source!AB71*Source!I71, 2)</f>
        <v>2139.67</v>
      </c>
      <c r="I83" s="35">
        <f>Source!AZ71</f>
        <v>10.3</v>
      </c>
      <c r="J83" s="34">
        <f>Source!GM71</f>
        <v>22038.57</v>
      </c>
      <c r="R83">
        <f>ROUND((Source!FX71/100)*((ROUND(0*Source!I71, 2)+ROUND(0*Source!I71, 2))), 2)</f>
        <v>0</v>
      </c>
      <c r="S83">
        <f>Source!X71</f>
        <v>0</v>
      </c>
      <c r="T83">
        <f>ROUND((Source!FY71/100)*((ROUND(0*Source!I71, 2)+ROUND(0*Source!I71, 2))), 2)</f>
        <v>0</v>
      </c>
      <c r="U83">
        <f>Source!Y71</f>
        <v>0</v>
      </c>
    </row>
    <row r="84" spans="1:21" ht="15" x14ac:dyDescent="0.25">
      <c r="C84" s="28" t="s">
        <v>329</v>
      </c>
      <c r="G84" s="58">
        <f>H83</f>
        <v>2139.67</v>
      </c>
      <c r="H84" s="58"/>
      <c r="I84" s="58">
        <f>J83</f>
        <v>22038.57</v>
      </c>
      <c r="J84" s="58"/>
      <c r="O84" s="29">
        <f>G84</f>
        <v>2139.67</v>
      </c>
      <c r="P84" s="29">
        <f>I84</f>
        <v>22038.57</v>
      </c>
    </row>
    <row r="85" spans="1:21" ht="57" x14ac:dyDescent="0.2">
      <c r="A85" s="30" t="str">
        <f>Source!E72</f>
        <v>10</v>
      </c>
      <c r="B85" s="31" t="str">
        <f>Source!F72</f>
        <v>т03-21-01-057</v>
      </c>
      <c r="C85" s="31" t="str">
        <f>Source!G72</f>
        <v>Перевозка грузов I класса автомобилями-самосвалами грузоподъемностью 10 т работающих вне карьера на расстояние до 57 км</v>
      </c>
      <c r="D85" s="32" t="str">
        <f>Source!H72</f>
        <v>1 Т ГРУЗА</v>
      </c>
      <c r="E85" s="33">
        <f>Source!I72</f>
        <v>540.32000000000005</v>
      </c>
      <c r="F85" s="34">
        <f>Source!AK72</f>
        <v>29.92</v>
      </c>
      <c r="G85" s="35" t="str">
        <f>Source!DC72</f>
        <v/>
      </c>
      <c r="H85" s="34">
        <f>ROUND(Source!AB72*Source!I72, 2)</f>
        <v>16166.37</v>
      </c>
      <c r="I85" s="35">
        <f>Source!AZ72</f>
        <v>7.48</v>
      </c>
      <c r="J85" s="34">
        <f>Source!GM72</f>
        <v>120924.48</v>
      </c>
      <c r="R85">
        <f>ROUND((Source!FX72/100)*((ROUND(0*Source!I72, 2)+ROUND(0*Source!I72, 2))), 2)</f>
        <v>0</v>
      </c>
      <c r="S85">
        <f>Source!X72</f>
        <v>0</v>
      </c>
      <c r="T85">
        <f>ROUND((Source!FY72/100)*((ROUND(0*Source!I72, 2)+ROUND(0*Source!I72, 2))), 2)</f>
        <v>0</v>
      </c>
      <c r="U85">
        <f>Source!Y72</f>
        <v>0</v>
      </c>
    </row>
    <row r="86" spans="1:21" ht="15" x14ac:dyDescent="0.25">
      <c r="C86" s="28" t="s">
        <v>329</v>
      </c>
      <c r="G86" s="58">
        <f>H85</f>
        <v>16166.37</v>
      </c>
      <c r="H86" s="58"/>
      <c r="I86" s="58">
        <f>J85</f>
        <v>120924.48</v>
      </c>
      <c r="J86" s="58"/>
      <c r="O86" s="29">
        <f>G86</f>
        <v>16166.37</v>
      </c>
      <c r="P86" s="29">
        <f>I86</f>
        <v>120924.48</v>
      </c>
    </row>
    <row r="87" spans="1:21" ht="153.75" x14ac:dyDescent="0.2">
      <c r="A87" s="30" t="str">
        <f>Source!E73</f>
        <v>11</v>
      </c>
      <c r="B87" s="31" t="str">
        <f>Source!F73</f>
        <v>Приказ ОДПС Сколково № 189 от 26.09.13г.</v>
      </c>
      <c r="C87" s="31" t="s">
        <v>335</v>
      </c>
      <c r="D87" s="32" t="str">
        <f>Source!H73</f>
        <v>м3</v>
      </c>
      <c r="E87" s="33">
        <f>Source!I73</f>
        <v>337.7</v>
      </c>
      <c r="F87" s="34">
        <f>Source!AL73</f>
        <v>9.01</v>
      </c>
      <c r="G87" s="35" t="str">
        <f>Source!DD73</f>
        <v/>
      </c>
      <c r="H87" s="34">
        <f>ROUND(Source!AC73*Source!I73, 2)</f>
        <v>3042.68</v>
      </c>
      <c r="I87" s="35">
        <f>IF(Source!BC73&lt;&gt; 0, Source!BC73, 1)</f>
        <v>9.99</v>
      </c>
      <c r="J87" s="34">
        <f>Source!P73</f>
        <v>30396.34</v>
      </c>
      <c r="R87">
        <f>ROUND((Source!FX73/100)*((ROUND(Source!AF73*Source!I73, 2)+ROUND(Source!AE73*Source!I73, 2))), 2)</f>
        <v>0</v>
      </c>
      <c r="S87">
        <f>Source!X73</f>
        <v>0</v>
      </c>
      <c r="T87">
        <f>ROUND((Source!FY73/100)*((ROUND(Source!AF73*Source!I73, 2)+ROUND(Source!AE73*Source!I73, 2))), 2)</f>
        <v>0</v>
      </c>
      <c r="U87">
        <f>Source!Y73</f>
        <v>0</v>
      </c>
    </row>
    <row r="88" spans="1:21" ht="15" x14ac:dyDescent="0.25">
      <c r="C88" s="28" t="s">
        <v>329</v>
      </c>
      <c r="G88" s="58">
        <f>ROUND(Source!AC73*Source!I73, 2)+ROUND(Source!AF73*Source!I73, 2)+ROUND(Source!AD73*Source!I73, 2)</f>
        <v>3042.68</v>
      </c>
      <c r="H88" s="58"/>
      <c r="I88" s="58">
        <f>Source!P73+Source!Q73+Source!S73</f>
        <v>30396.34</v>
      </c>
      <c r="J88" s="58"/>
      <c r="O88">
        <f>G88</f>
        <v>3042.68</v>
      </c>
      <c r="P88">
        <f>I88</f>
        <v>30396.34</v>
      </c>
    </row>
    <row r="89" spans="1:21" ht="28.5" x14ac:dyDescent="0.2">
      <c r="A89" s="24" t="str">
        <f>Source!E74</f>
        <v>12</v>
      </c>
      <c r="B89" s="25" t="str">
        <f>Source!F74</f>
        <v>47-01-009-07</v>
      </c>
      <c r="C89" s="25" t="str">
        <f>Source!G74</f>
        <v>Посадка деревьев и кустарников с комом земли размером 1,0x1,0x0,6 м</v>
      </c>
      <c r="D89" s="26" t="str">
        <f>Source!H74</f>
        <v>10 ШТ</v>
      </c>
      <c r="E89" s="10">
        <f>Source!I74</f>
        <v>11</v>
      </c>
      <c r="F89" s="19"/>
      <c r="G89" s="27"/>
      <c r="H89" s="19"/>
      <c r="I89" s="27" t="str">
        <f>Source!BO74</f>
        <v/>
      </c>
      <c r="J89" s="19"/>
      <c r="R89">
        <f>ROUND((Source!FX74/100)*((ROUND(Source!AF74*Source!I74, 2)+ROUND(Source!AE74*Source!I74, 2))), 2)</f>
        <v>5759.8</v>
      </c>
      <c r="S89">
        <f>Source!X74</f>
        <v>121530.73</v>
      </c>
      <c r="T89">
        <f>ROUND((Source!FY74/100)*((ROUND(Source!AF74*Source!I74, 2)+ROUND(Source!AE74*Source!I74, 2))), 2)</f>
        <v>4507.67</v>
      </c>
      <c r="U89">
        <f>Source!Y74</f>
        <v>89287.88</v>
      </c>
    </row>
    <row r="90" spans="1:21" ht="14.25" x14ac:dyDescent="0.2">
      <c r="A90" s="24"/>
      <c r="B90" s="25"/>
      <c r="C90" s="25" t="s">
        <v>325</v>
      </c>
      <c r="D90" s="26"/>
      <c r="E90" s="10"/>
      <c r="F90" s="19">
        <f>Source!AO74</f>
        <v>414.14</v>
      </c>
      <c r="G90" s="27" t="str">
        <f>Source!DG74</f>
        <v/>
      </c>
      <c r="H90" s="19">
        <f>ROUND(Source!AF74*Source!I74, 2)</f>
        <v>4555.54</v>
      </c>
      <c r="I90" s="27">
        <f>IF(Source!BA74&lt;&gt; 0, Source!BA74, 1)</f>
        <v>24.76</v>
      </c>
      <c r="J90" s="19">
        <f>Source!S74</f>
        <v>112795.17</v>
      </c>
      <c r="Q90">
        <f>ROUND(Source!AF74*Source!I74, 2)</f>
        <v>4555.54</v>
      </c>
    </row>
    <row r="91" spans="1:21" ht="14.25" x14ac:dyDescent="0.2">
      <c r="A91" s="24"/>
      <c r="B91" s="25"/>
      <c r="C91" s="25" t="s">
        <v>330</v>
      </c>
      <c r="D91" s="26"/>
      <c r="E91" s="10"/>
      <c r="F91" s="19">
        <f>Source!AM74</f>
        <v>361.14</v>
      </c>
      <c r="G91" s="27" t="str">
        <f>Source!DE74</f>
        <v/>
      </c>
      <c r="H91" s="19">
        <f>ROUND(Source!AD74*Source!I74, 2)</f>
        <v>3972.54</v>
      </c>
      <c r="I91" s="27">
        <f>IF(Source!BB74&lt;&gt; 0, Source!BB74, 1)</f>
        <v>6.89</v>
      </c>
      <c r="J91" s="19">
        <f>Source!Q74</f>
        <v>27370.799999999999</v>
      </c>
    </row>
    <row r="92" spans="1:21" ht="14.25" x14ac:dyDescent="0.2">
      <c r="A92" s="24"/>
      <c r="B92" s="25"/>
      <c r="C92" s="25" t="s">
        <v>331</v>
      </c>
      <c r="D92" s="26"/>
      <c r="E92" s="10"/>
      <c r="F92" s="19">
        <f>Source!AN74</f>
        <v>41.18</v>
      </c>
      <c r="G92" s="27" t="str">
        <f>Source!DF74</f>
        <v/>
      </c>
      <c r="H92" s="36">
        <f>ROUND(Source!AE74*Source!I74, 2)</f>
        <v>452.98</v>
      </c>
      <c r="I92" s="27">
        <f>IF(Source!BS74&lt;&gt; 0, Source!BS74, 1)</f>
        <v>24.76</v>
      </c>
      <c r="J92" s="36">
        <f>Source!R74</f>
        <v>11215.78</v>
      </c>
      <c r="Q92">
        <f>ROUND(Source!AE74*Source!I74, 2)</f>
        <v>452.98</v>
      </c>
    </row>
    <row r="93" spans="1:21" ht="14.25" x14ac:dyDescent="0.2">
      <c r="A93" s="24"/>
      <c r="B93" s="25"/>
      <c r="C93" s="25" t="s">
        <v>334</v>
      </c>
      <c r="D93" s="26"/>
      <c r="E93" s="10"/>
      <c r="F93" s="19">
        <f>Source!AL74</f>
        <v>415.88</v>
      </c>
      <c r="G93" s="27" t="str">
        <f>Source!DD74</f>
        <v/>
      </c>
      <c r="H93" s="19">
        <f>ROUND(Source!AC74*Source!I74, 2)</f>
        <v>4574.68</v>
      </c>
      <c r="I93" s="27">
        <f>IF(Source!BC74&lt;&gt; 0, Source!BC74, 1)</f>
        <v>2.98</v>
      </c>
      <c r="J93" s="19">
        <f>Source!P74</f>
        <v>13632.55</v>
      </c>
    </row>
    <row r="94" spans="1:21" ht="52.5" x14ac:dyDescent="0.2">
      <c r="A94" s="24" t="str">
        <f>Source!E75</f>
        <v>12,1</v>
      </c>
      <c r="B94" s="25" t="str">
        <f>Source!F75</f>
        <v>КА п.1</v>
      </c>
      <c r="C94" s="25" t="s">
        <v>336</v>
      </c>
      <c r="D94" s="26" t="str">
        <f>Source!H75</f>
        <v>ШТ</v>
      </c>
      <c r="E94" s="10">
        <f>Source!I75</f>
        <v>24</v>
      </c>
      <c r="F94" s="19">
        <f>Source!AK75</f>
        <v>11765.02</v>
      </c>
      <c r="G94" s="37" t="s">
        <v>3</v>
      </c>
      <c r="H94" s="19">
        <f>ROUND(Source!AC75*Source!I75, 2)+ROUND(Source!AD75*Source!I75, 2)+ROUND(Source!AF75*Source!I75, 2)</f>
        <v>282360.48</v>
      </c>
      <c r="I94" s="27">
        <f>IF(Source!BC75&lt;&gt; 0, Source!BC75, 1)</f>
        <v>7.24</v>
      </c>
      <c r="J94" s="19">
        <f>Source!O75</f>
        <v>2044289.88</v>
      </c>
      <c r="R94">
        <f>ROUND((Source!FX75/100)*((ROUND(Source!AF75*Source!I75, 2)+ROUND(Source!AE75*Source!I75, 2))), 2)</f>
        <v>0</v>
      </c>
      <c r="S94">
        <f>Source!X75</f>
        <v>0</v>
      </c>
      <c r="T94">
        <f>ROUND((Source!FY75/100)*((ROUND(Source!AF75*Source!I75, 2)+ROUND(Source!AE75*Source!I75, 2))), 2)</f>
        <v>0</v>
      </c>
      <c r="U94">
        <f>Source!Y75</f>
        <v>0</v>
      </c>
    </row>
    <row r="95" spans="1:21" ht="52.5" x14ac:dyDescent="0.2">
      <c r="A95" s="24" t="str">
        <f>Source!E76</f>
        <v>12,2</v>
      </c>
      <c r="B95" s="25" t="str">
        <f>Source!F76</f>
        <v>КА п.2</v>
      </c>
      <c r="C95" s="25" t="s">
        <v>337</v>
      </c>
      <c r="D95" s="26" t="str">
        <f>Source!H76</f>
        <v>ШТ</v>
      </c>
      <c r="E95" s="10">
        <f>Source!I76</f>
        <v>86</v>
      </c>
      <c r="F95" s="19">
        <f>Source!AK76</f>
        <v>13281.3</v>
      </c>
      <c r="G95" s="37" t="s">
        <v>3</v>
      </c>
      <c r="H95" s="19">
        <f>ROUND(Source!AC76*Source!I76, 2)+ROUND(Source!AD76*Source!I76, 2)+ROUND(Source!AF76*Source!I76, 2)</f>
        <v>1142191.8</v>
      </c>
      <c r="I95" s="27">
        <f>IF(Source!BC76&lt;&gt; 0, Source!BC76, 1)</f>
        <v>7.24</v>
      </c>
      <c r="J95" s="19">
        <f>Source!O76</f>
        <v>8269468.6299999999</v>
      </c>
      <c r="R95">
        <f>ROUND((Source!FX76/100)*((ROUND(Source!AF76*Source!I76, 2)+ROUND(Source!AE76*Source!I76, 2))), 2)</f>
        <v>0</v>
      </c>
      <c r="S95">
        <f>Source!X76</f>
        <v>0</v>
      </c>
      <c r="T95">
        <f>ROUND((Source!FY76/100)*((ROUND(Source!AF76*Source!I76, 2)+ROUND(Source!AE76*Source!I76, 2))), 2)</f>
        <v>0</v>
      </c>
      <c r="U95">
        <f>Source!Y76</f>
        <v>0</v>
      </c>
    </row>
    <row r="96" spans="1:21" ht="14.25" x14ac:dyDescent="0.2">
      <c r="A96" s="24"/>
      <c r="B96" s="25"/>
      <c r="C96" s="25" t="str">
        <f>CONCATENATE("НР от ФОТ [к тек. уровню ", Source!FV74, "]")</f>
        <v>НР от ФОТ [к тек. уровню *0,85]</v>
      </c>
      <c r="D96" s="26" t="s">
        <v>326</v>
      </c>
      <c r="E96" s="10">
        <f>Source!BZ74</f>
        <v>115</v>
      </c>
      <c r="F96" s="19"/>
      <c r="G96" s="27"/>
      <c r="H96" s="19">
        <f>SUM(R89:R95)</f>
        <v>5759.8</v>
      </c>
      <c r="I96" s="27">
        <f>Source!AT74</f>
        <v>98</v>
      </c>
      <c r="J96" s="19">
        <f>SUM(S89:S95)</f>
        <v>121530.73</v>
      </c>
    </row>
    <row r="97" spans="1:21" ht="14.25" x14ac:dyDescent="0.2">
      <c r="A97" s="24"/>
      <c r="B97" s="25"/>
      <c r="C97" s="25" t="str">
        <f>CONCATENATE("СП от ФОТ [к тек. уровню ", Source!FW74, "]")</f>
        <v>СП от ФОТ [к тек. уровню *0,8]</v>
      </c>
      <c r="D97" s="26" t="s">
        <v>326</v>
      </c>
      <c r="E97" s="10">
        <f>Source!CA74</f>
        <v>90</v>
      </c>
      <c r="F97" s="19"/>
      <c r="G97" s="27"/>
      <c r="H97" s="19">
        <f>SUM(T89:T96)</f>
        <v>4507.67</v>
      </c>
      <c r="I97" s="27">
        <f>Source!AU74</f>
        <v>72</v>
      </c>
      <c r="J97" s="19">
        <f>SUM(U89:U96)</f>
        <v>89287.88</v>
      </c>
    </row>
    <row r="98" spans="1:21" ht="14.25" x14ac:dyDescent="0.2">
      <c r="A98" s="30"/>
      <c r="B98" s="31"/>
      <c r="C98" s="31" t="s">
        <v>327</v>
      </c>
      <c r="D98" s="32" t="s">
        <v>328</v>
      </c>
      <c r="E98" s="33">
        <f>Source!AQ74</f>
        <v>43.05</v>
      </c>
      <c r="F98" s="34"/>
      <c r="G98" s="35" t="str">
        <f>Source!DI74</f>
        <v/>
      </c>
      <c r="H98" s="34">
        <f>Source!U74</f>
        <v>473.54999999999995</v>
      </c>
      <c r="I98" s="35"/>
      <c r="J98" s="34"/>
    </row>
    <row r="99" spans="1:21" ht="15" x14ac:dyDescent="0.25">
      <c r="C99" s="28" t="s">
        <v>329</v>
      </c>
      <c r="G99" s="58">
        <f>ROUND(Source!AC74*Source!I74, 2)+ROUND(Source!AF74*Source!I74, 2)+ROUND(Source!AD74*Source!I74, 2)+SUM(H94:H97)</f>
        <v>1447922.51</v>
      </c>
      <c r="H99" s="58"/>
      <c r="I99" s="58">
        <f>Source!P74+Source!Q74+Source!S74+SUM(J94:J97)</f>
        <v>10678375.640000001</v>
      </c>
      <c r="J99" s="58"/>
      <c r="O99" s="29">
        <f>G99</f>
        <v>1447922.51</v>
      </c>
      <c r="P99" s="29">
        <f>I99</f>
        <v>10678375.640000001</v>
      </c>
    </row>
    <row r="100" spans="1:21" ht="28.5" x14ac:dyDescent="0.2">
      <c r="A100" s="24" t="str">
        <f>Source!E77</f>
        <v>13</v>
      </c>
      <c r="B100" s="25" t="str">
        <f>Source!F77</f>
        <v>23-04-011-01</v>
      </c>
      <c r="C100" s="25" t="str">
        <f>Source!G77</f>
        <v>Установка люка (прим. установка приствольной решетки)</v>
      </c>
      <c r="D100" s="26" t="str">
        <f>Source!H77</f>
        <v>ШТ</v>
      </c>
      <c r="E100" s="10">
        <f>Source!I77</f>
        <v>96</v>
      </c>
      <c r="F100" s="19"/>
      <c r="G100" s="27"/>
      <c r="H100" s="19"/>
      <c r="I100" s="27" t="str">
        <f>Source!BO77</f>
        <v>23-04-011-01</v>
      </c>
      <c r="J100" s="19"/>
      <c r="R100">
        <f>ROUND((Source!FX77/100)*((ROUND(Source!AF77*Source!I77, 2)+ROUND(Source!AE77*Source!I77, 2))), 2)</f>
        <v>1513.82</v>
      </c>
      <c r="S100">
        <f>Source!X77</f>
        <v>32004.11</v>
      </c>
      <c r="T100">
        <f>ROUND((Source!FY77/100)*((ROUND(Source!AF77*Source!I77, 2)+ROUND(Source!AE77*Source!I77, 2))), 2)</f>
        <v>1036.3900000000001</v>
      </c>
      <c r="U100">
        <f>Source!Y77</f>
        <v>20471.099999999999</v>
      </c>
    </row>
    <row r="101" spans="1:21" ht="14.25" x14ac:dyDescent="0.2">
      <c r="A101" s="24"/>
      <c r="B101" s="25"/>
      <c r="C101" s="25" t="s">
        <v>325</v>
      </c>
      <c r="D101" s="26"/>
      <c r="E101" s="10"/>
      <c r="F101" s="19">
        <f>Source!AO77</f>
        <v>11.32</v>
      </c>
      <c r="G101" s="27" t="str">
        <f>Source!DG77</f>
        <v/>
      </c>
      <c r="H101" s="19">
        <f>ROUND(Source!AF77*Source!I77, 2)</f>
        <v>1086.72</v>
      </c>
      <c r="I101" s="27">
        <f>IF(Source!BA77&lt;&gt; 0, Source!BA77, 1)</f>
        <v>24.76</v>
      </c>
      <c r="J101" s="19">
        <f>Source!S77</f>
        <v>26907.19</v>
      </c>
      <c r="Q101">
        <f>ROUND(Source!AF77*Source!I77, 2)</f>
        <v>1086.72</v>
      </c>
    </row>
    <row r="102" spans="1:21" ht="14.25" x14ac:dyDescent="0.2">
      <c r="A102" s="24"/>
      <c r="B102" s="25"/>
      <c r="C102" s="25" t="s">
        <v>330</v>
      </c>
      <c r="D102" s="26"/>
      <c r="E102" s="10"/>
      <c r="F102" s="19">
        <f>Source!AM77</f>
        <v>4.5999999999999996</v>
      </c>
      <c r="G102" s="27" t="str">
        <f>Source!DE77</f>
        <v/>
      </c>
      <c r="H102" s="19">
        <f>ROUND(Source!AD77*Source!I77, 2)</f>
        <v>441.6</v>
      </c>
      <c r="I102" s="27">
        <f>IF(Source!BB77&lt;&gt; 0, Source!BB77, 1)</f>
        <v>11.95</v>
      </c>
      <c r="J102" s="19">
        <f>Source!Q77</f>
        <v>5277.12</v>
      </c>
    </row>
    <row r="103" spans="1:21" ht="14.25" x14ac:dyDescent="0.2">
      <c r="A103" s="24"/>
      <c r="B103" s="25"/>
      <c r="C103" s="25" t="s">
        <v>331</v>
      </c>
      <c r="D103" s="26"/>
      <c r="E103" s="10"/>
      <c r="F103" s="19">
        <f>Source!AN77</f>
        <v>0.81</v>
      </c>
      <c r="G103" s="27" t="str">
        <f>Source!DF77</f>
        <v/>
      </c>
      <c r="H103" s="36">
        <f>ROUND(Source!AE77*Source!I77, 2)</f>
        <v>77.760000000000005</v>
      </c>
      <c r="I103" s="27">
        <f>IF(Source!BS77&lt;&gt; 0, Source!BS77, 1)</f>
        <v>24.76</v>
      </c>
      <c r="J103" s="36">
        <f>Source!R77</f>
        <v>1925.34</v>
      </c>
      <c r="Q103">
        <f>ROUND(Source!AE77*Source!I77, 2)</f>
        <v>77.760000000000005</v>
      </c>
    </row>
    <row r="104" spans="1:21" ht="14.25" x14ac:dyDescent="0.2">
      <c r="A104" s="24"/>
      <c r="B104" s="25"/>
      <c r="C104" s="25" t="s">
        <v>334</v>
      </c>
      <c r="D104" s="26"/>
      <c r="E104" s="10"/>
      <c r="F104" s="19">
        <f>Source!AL77</f>
        <v>0.53</v>
      </c>
      <c r="G104" s="27" t="str">
        <f>Source!DD77</f>
        <v/>
      </c>
      <c r="H104" s="19">
        <f>ROUND(Source!AC77*Source!I77, 2)</f>
        <v>50.88</v>
      </c>
      <c r="I104" s="27">
        <f>IF(Source!BC77&lt;&gt; 0, Source!BC77, 1)</f>
        <v>5.87</v>
      </c>
      <c r="J104" s="19">
        <f>Source!P77</f>
        <v>298.67</v>
      </c>
    </row>
    <row r="105" spans="1:21" ht="28.5" x14ac:dyDescent="0.2">
      <c r="A105" s="24" t="str">
        <f>Source!E78</f>
        <v>13,1</v>
      </c>
      <c r="B105" s="25" t="str">
        <f>Source!F78</f>
        <v>04.1.02.05-0007</v>
      </c>
      <c r="C105" s="25" t="str">
        <f>Source!G78</f>
        <v>Бетон тяжелый, класс В20 (М250)</v>
      </c>
      <c r="D105" s="26" t="str">
        <f>Source!H78</f>
        <v>м3</v>
      </c>
      <c r="E105" s="10">
        <f>Source!I78</f>
        <v>-7.6799999999999993E-2</v>
      </c>
      <c r="F105" s="19">
        <f>Source!AK78</f>
        <v>665</v>
      </c>
      <c r="G105" s="37" t="s">
        <v>3</v>
      </c>
      <c r="H105" s="19">
        <f>ROUND(Source!AC78*Source!I78, 2)+ROUND(Source!AD78*Source!I78, 2)+ROUND(Source!AF78*Source!I78, 2)</f>
        <v>-51.07</v>
      </c>
      <c r="I105" s="27">
        <f>IF(Source!BC78&lt;&gt; 0, Source!BC78, 1)</f>
        <v>5.85</v>
      </c>
      <c r="J105" s="19">
        <f>Source!O78</f>
        <v>-298.77</v>
      </c>
      <c r="R105">
        <f>ROUND((Source!FX78/100)*((ROUND(Source!AF78*Source!I78, 2)+ROUND(Source!AE78*Source!I78, 2))), 2)</f>
        <v>0</v>
      </c>
      <c r="S105">
        <f>Source!X78</f>
        <v>0</v>
      </c>
      <c r="T105">
        <f>ROUND((Source!FY78/100)*((ROUND(Source!AF78*Source!I78, 2)+ROUND(Source!AE78*Source!I78, 2))), 2)</f>
        <v>0</v>
      </c>
      <c r="U105">
        <f>Source!Y78</f>
        <v>0</v>
      </c>
    </row>
    <row r="106" spans="1:21" ht="39.75" x14ac:dyDescent="0.2">
      <c r="A106" s="24" t="str">
        <f>Source!E79</f>
        <v>13,2</v>
      </c>
      <c r="B106" s="25" t="str">
        <f>Source!F79</f>
        <v>КА п.3</v>
      </c>
      <c r="C106" s="25" t="s">
        <v>338</v>
      </c>
      <c r="D106" s="26" t="str">
        <f>Source!H79</f>
        <v>ШТ</v>
      </c>
      <c r="E106" s="10">
        <f>Source!I79</f>
        <v>96</v>
      </c>
      <c r="F106" s="19">
        <f>Source!AK79</f>
        <v>2920.54</v>
      </c>
      <c r="G106" s="37" t="s">
        <v>3</v>
      </c>
      <c r="H106" s="19">
        <f>ROUND(Source!AC79*Source!I79, 2)+ROUND(Source!AD79*Source!I79, 2)+ROUND(Source!AF79*Source!I79, 2)</f>
        <v>280371.84000000003</v>
      </c>
      <c r="I106" s="27">
        <f>IF(Source!BC79&lt;&gt; 0, Source!BC79, 1)</f>
        <v>7.24</v>
      </c>
      <c r="J106" s="19">
        <f>Source!O79</f>
        <v>2029892.12</v>
      </c>
      <c r="R106">
        <f>ROUND((Source!FX79/100)*((ROUND(Source!AF79*Source!I79, 2)+ROUND(Source!AE79*Source!I79, 2))), 2)</f>
        <v>0</v>
      </c>
      <c r="S106">
        <f>Source!X79</f>
        <v>0</v>
      </c>
      <c r="T106">
        <f>ROUND((Source!FY79/100)*((ROUND(Source!AF79*Source!I79, 2)+ROUND(Source!AE79*Source!I79, 2))), 2)</f>
        <v>0</v>
      </c>
      <c r="U106">
        <f>Source!Y79</f>
        <v>0</v>
      </c>
    </row>
    <row r="107" spans="1:21" ht="14.25" x14ac:dyDescent="0.2">
      <c r="A107" s="24"/>
      <c r="B107" s="25"/>
      <c r="C107" s="25" t="str">
        <f>CONCATENATE("НР от ФОТ [к тек. уровню ", Source!FV77, "]")</f>
        <v>НР от ФОТ [к тек. уровню *0,85]</v>
      </c>
      <c r="D107" s="26" t="s">
        <v>326</v>
      </c>
      <c r="E107" s="10">
        <f>Source!BZ77</f>
        <v>130</v>
      </c>
      <c r="F107" s="19"/>
      <c r="G107" s="27"/>
      <c r="H107" s="19">
        <f>SUM(R100:R106)</f>
        <v>1513.82</v>
      </c>
      <c r="I107" s="27">
        <f>Source!AT77</f>
        <v>111</v>
      </c>
      <c r="J107" s="19">
        <f>SUM(S100:S106)</f>
        <v>32004.11</v>
      </c>
    </row>
    <row r="108" spans="1:21" ht="14.25" x14ac:dyDescent="0.2">
      <c r="A108" s="24"/>
      <c r="B108" s="25"/>
      <c r="C108" s="25" t="str">
        <f>CONCATENATE("СП от ФОТ [к тек. уровню ", Source!FW77, "]")</f>
        <v>СП от ФОТ [к тек. уровню *0,8]</v>
      </c>
      <c r="D108" s="26" t="s">
        <v>326</v>
      </c>
      <c r="E108" s="10">
        <f>Source!CA77</f>
        <v>89</v>
      </c>
      <c r="F108" s="19"/>
      <c r="G108" s="27"/>
      <c r="H108" s="19">
        <f>SUM(T100:T107)</f>
        <v>1036.3900000000001</v>
      </c>
      <c r="I108" s="27">
        <f>Source!AU77</f>
        <v>71</v>
      </c>
      <c r="J108" s="19">
        <f>SUM(U100:U107)</f>
        <v>20471.099999999999</v>
      </c>
    </row>
    <row r="109" spans="1:21" ht="14.25" x14ac:dyDescent="0.2">
      <c r="A109" s="30"/>
      <c r="B109" s="31"/>
      <c r="C109" s="31" t="s">
        <v>327</v>
      </c>
      <c r="D109" s="32" t="s">
        <v>328</v>
      </c>
      <c r="E109" s="33">
        <f>Source!AQ77</f>
        <v>1.31</v>
      </c>
      <c r="F109" s="34"/>
      <c r="G109" s="35" t="str">
        <f>Source!DI77</f>
        <v/>
      </c>
      <c r="H109" s="34">
        <f>Source!U77</f>
        <v>125.76</v>
      </c>
      <c r="I109" s="35"/>
      <c r="J109" s="34"/>
    </row>
    <row r="110" spans="1:21" ht="15" x14ac:dyDescent="0.25">
      <c r="C110" s="28" t="s">
        <v>329</v>
      </c>
      <c r="G110" s="58">
        <f>ROUND(Source!AC77*Source!I77, 2)+ROUND(Source!AF77*Source!I77, 2)+ROUND(Source!AD77*Source!I77, 2)+SUM(H105:H108)</f>
        <v>284450.18000000005</v>
      </c>
      <c r="H110" s="58"/>
      <c r="I110" s="58">
        <f>Source!P77+Source!Q77+Source!S77+SUM(J105:J108)</f>
        <v>2114551.5400000005</v>
      </c>
      <c r="J110" s="58"/>
      <c r="O110" s="29">
        <f>G110</f>
        <v>284450.18000000005</v>
      </c>
      <c r="P110" s="29">
        <f>I110</f>
        <v>2114551.5400000005</v>
      </c>
    </row>
    <row r="111" spans="1:21" ht="28.5" x14ac:dyDescent="0.2">
      <c r="A111" s="24" t="str">
        <f>Source!E80</f>
        <v>14</v>
      </c>
      <c r="B111" s="25" t="str">
        <f>Source!F80</f>
        <v>47-01-067-07</v>
      </c>
      <c r="C111" s="25" t="str">
        <f>Source!G80</f>
        <v>Уход за деревьями или кустарниками с комом земли размером 1,0x1,0x0,6 м</v>
      </c>
      <c r="D111" s="26" t="str">
        <f>Source!H80</f>
        <v>10 ШТ</v>
      </c>
      <c r="E111" s="10">
        <f>Source!I80</f>
        <v>11</v>
      </c>
      <c r="F111" s="19"/>
      <c r="G111" s="27"/>
      <c r="H111" s="19"/>
      <c r="I111" s="27" t="str">
        <f>Source!BO80</f>
        <v/>
      </c>
      <c r="J111" s="19"/>
      <c r="R111">
        <f>ROUND((Source!FX80/100)*((ROUND(Source!AF80*Source!I80, 2)+ROUND(Source!AE80*Source!I80, 2))), 2)</f>
        <v>5175.75</v>
      </c>
      <c r="S111">
        <f>Source!X80</f>
        <v>109207.37</v>
      </c>
      <c r="T111">
        <f>ROUND((Source!FY80/100)*((ROUND(Source!AF80*Source!I80, 2)+ROUND(Source!AE80*Source!I80, 2))), 2)</f>
        <v>4050.59</v>
      </c>
      <c r="U111">
        <f>Source!Y80</f>
        <v>80233.98</v>
      </c>
    </row>
    <row r="112" spans="1:21" ht="14.25" x14ac:dyDescent="0.2">
      <c r="A112" s="24"/>
      <c r="B112" s="25"/>
      <c r="C112" s="25" t="s">
        <v>325</v>
      </c>
      <c r="D112" s="26"/>
      <c r="E112" s="10"/>
      <c r="F112" s="19">
        <f>Source!AO80</f>
        <v>377.37</v>
      </c>
      <c r="G112" s="27" t="str">
        <f>Source!DG80</f>
        <v/>
      </c>
      <c r="H112" s="19">
        <f>ROUND(Source!AF80*Source!I80, 2)</f>
        <v>4151.07</v>
      </c>
      <c r="I112" s="27">
        <f>IF(Source!BA80&lt;&gt; 0, Source!BA80, 1)</f>
        <v>24.76</v>
      </c>
      <c r="J112" s="19">
        <f>Source!S80</f>
        <v>102780.49</v>
      </c>
      <c r="Q112">
        <f>ROUND(Source!AF80*Source!I80, 2)</f>
        <v>4151.07</v>
      </c>
    </row>
    <row r="113" spans="1:21" ht="14.25" x14ac:dyDescent="0.2">
      <c r="A113" s="24"/>
      <c r="B113" s="25"/>
      <c r="C113" s="25" t="s">
        <v>330</v>
      </c>
      <c r="D113" s="26"/>
      <c r="E113" s="10"/>
      <c r="F113" s="19">
        <f>Source!AM80</f>
        <v>301.39999999999998</v>
      </c>
      <c r="G113" s="27" t="str">
        <f>Source!DE80</f>
        <v/>
      </c>
      <c r="H113" s="19">
        <f>ROUND(Source!AD80*Source!I80, 2)</f>
        <v>3315.4</v>
      </c>
      <c r="I113" s="27">
        <f>IF(Source!BB80&lt;&gt; 0, Source!BB80, 1)</f>
        <v>6.24</v>
      </c>
      <c r="J113" s="19">
        <f>Source!Q80</f>
        <v>20688.099999999999</v>
      </c>
    </row>
    <row r="114" spans="1:21" ht="14.25" x14ac:dyDescent="0.2">
      <c r="A114" s="24"/>
      <c r="B114" s="25"/>
      <c r="C114" s="25" t="s">
        <v>331</v>
      </c>
      <c r="D114" s="26"/>
      <c r="E114" s="10"/>
      <c r="F114" s="19">
        <f>Source!AN80</f>
        <v>31.78</v>
      </c>
      <c r="G114" s="27" t="str">
        <f>Source!DF80</f>
        <v/>
      </c>
      <c r="H114" s="36">
        <f>ROUND(Source!AE80*Source!I80, 2)</f>
        <v>349.58</v>
      </c>
      <c r="I114" s="27">
        <f>IF(Source!BS80&lt;&gt; 0, Source!BS80, 1)</f>
        <v>24.76</v>
      </c>
      <c r="J114" s="36">
        <f>Source!R80</f>
        <v>8655.6</v>
      </c>
      <c r="Q114">
        <f>ROUND(Source!AE80*Source!I80, 2)</f>
        <v>349.58</v>
      </c>
    </row>
    <row r="115" spans="1:21" ht="14.25" x14ac:dyDescent="0.2">
      <c r="A115" s="24"/>
      <c r="B115" s="25"/>
      <c r="C115" s="25" t="s">
        <v>334</v>
      </c>
      <c r="D115" s="26"/>
      <c r="E115" s="10"/>
      <c r="F115" s="19">
        <f>Source!AL80</f>
        <v>115.58</v>
      </c>
      <c r="G115" s="27" t="str">
        <f>Source!DD80</f>
        <v/>
      </c>
      <c r="H115" s="19">
        <f>ROUND(Source!AC80*Source!I80, 2)</f>
        <v>1271.3800000000001</v>
      </c>
      <c r="I115" s="27">
        <f>IF(Source!BC80&lt;&gt; 0, Source!BC80, 1)</f>
        <v>4.05</v>
      </c>
      <c r="J115" s="19">
        <f>Source!P80</f>
        <v>5149.09</v>
      </c>
    </row>
    <row r="116" spans="1:21" ht="14.25" x14ac:dyDescent="0.2">
      <c r="A116" s="24"/>
      <c r="B116" s="25"/>
      <c r="C116" s="25" t="str">
        <f>CONCATENATE("НР от ФОТ [к тек. уровню ", Source!FV80, "]")</f>
        <v>НР от ФОТ [к тек. уровню *0,85]</v>
      </c>
      <c r="D116" s="26" t="s">
        <v>326</v>
      </c>
      <c r="E116" s="10">
        <f>Source!BZ80</f>
        <v>115</v>
      </c>
      <c r="F116" s="19"/>
      <c r="G116" s="27"/>
      <c r="H116" s="19">
        <f>SUM(R111:R115)</f>
        <v>5175.75</v>
      </c>
      <c r="I116" s="27">
        <f>Source!AT80</f>
        <v>98</v>
      </c>
      <c r="J116" s="19">
        <f>SUM(S111:S115)</f>
        <v>109207.37</v>
      </c>
    </row>
    <row r="117" spans="1:21" ht="14.25" x14ac:dyDescent="0.2">
      <c r="A117" s="24"/>
      <c r="B117" s="25"/>
      <c r="C117" s="25" t="str">
        <f>CONCATENATE("СП от ФОТ [к тек. уровню ", Source!FW80, "]")</f>
        <v>СП от ФОТ [к тек. уровню *0,8]</v>
      </c>
      <c r="D117" s="26" t="s">
        <v>326</v>
      </c>
      <c r="E117" s="10">
        <f>Source!CA80</f>
        <v>90</v>
      </c>
      <c r="F117" s="19"/>
      <c r="G117" s="27"/>
      <c r="H117" s="19">
        <f>SUM(T111:T116)</f>
        <v>4050.59</v>
      </c>
      <c r="I117" s="27">
        <f>Source!AU80</f>
        <v>72</v>
      </c>
      <c r="J117" s="19">
        <f>SUM(U111:U116)</f>
        <v>80233.98</v>
      </c>
    </row>
    <row r="118" spans="1:21" ht="14.25" x14ac:dyDescent="0.2">
      <c r="A118" s="30"/>
      <c r="B118" s="31"/>
      <c r="C118" s="31" t="s">
        <v>327</v>
      </c>
      <c r="D118" s="32" t="s">
        <v>328</v>
      </c>
      <c r="E118" s="33">
        <f>Source!AQ80</f>
        <v>44.24</v>
      </c>
      <c r="F118" s="34"/>
      <c r="G118" s="35" t="str">
        <f>Source!DI80</f>
        <v/>
      </c>
      <c r="H118" s="34">
        <f>Source!U80</f>
        <v>486.64000000000004</v>
      </c>
      <c r="I118" s="35"/>
      <c r="J118" s="34"/>
    </row>
    <row r="119" spans="1:21" ht="15" x14ac:dyDescent="0.25">
      <c r="C119" s="28" t="s">
        <v>329</v>
      </c>
      <c r="G119" s="58">
        <f>ROUND(Source!AC80*Source!I80, 2)+ROUND(Source!AF80*Source!I80, 2)+ROUND(Source!AD80*Source!I80, 2)+SUM(H116:H117)</f>
        <v>17964.190000000002</v>
      </c>
      <c r="H119" s="58"/>
      <c r="I119" s="58">
        <f>Source!P80+Source!Q80+Source!S80+SUM(J116:J117)</f>
        <v>318059.02999999997</v>
      </c>
      <c r="J119" s="58"/>
      <c r="O119" s="29">
        <f>G119</f>
        <v>17964.190000000002</v>
      </c>
      <c r="P119" s="29">
        <f>I119</f>
        <v>318059.02999999997</v>
      </c>
    </row>
    <row r="120" spans="1:21" ht="85.5" x14ac:dyDescent="0.2">
      <c r="A120" s="24" t="str">
        <f>Source!E81</f>
        <v>15</v>
      </c>
      <c r="B120" s="25" t="str">
        <f>Source!F81</f>
        <v>47-01-005-11</v>
      </c>
      <c r="C120" s="25" t="str">
        <f>Source!G81</f>
        <v>Подготовка стандартных посадочных мест механизированным способом для деревьев и кустарников с квадратным комом земли размером 1,0x1,0x0,6 м в естественном грунте (восстановление отпада - п.1.47.15 ТЧ)</v>
      </c>
      <c r="D120" s="26" t="str">
        <f>Source!H81</f>
        <v>10 ШТ</v>
      </c>
      <c r="E120" s="10">
        <f>Source!I81</f>
        <v>0.4</v>
      </c>
      <c r="F120" s="19"/>
      <c r="G120" s="27"/>
      <c r="H120" s="19"/>
      <c r="I120" s="27" t="str">
        <f>Source!BO81</f>
        <v/>
      </c>
      <c r="J120" s="19"/>
      <c r="R120">
        <f>ROUND((Source!FX81/100)*((ROUND(Source!AF81*Source!I81, 2)+ROUND(Source!AE81*Source!I81, 2))), 2)</f>
        <v>72.47</v>
      </c>
      <c r="S120">
        <f>Source!X81</f>
        <v>1529.07</v>
      </c>
      <c r="T120">
        <f>ROUND((Source!FY81/100)*((ROUND(Source!AF81*Source!I81, 2)+ROUND(Source!AE81*Source!I81, 2))), 2)</f>
        <v>56.72</v>
      </c>
      <c r="U120">
        <f>Source!Y81</f>
        <v>1123.4000000000001</v>
      </c>
    </row>
    <row r="121" spans="1:21" ht="14.25" x14ac:dyDescent="0.2">
      <c r="A121" s="24"/>
      <c r="B121" s="25"/>
      <c r="C121" s="25" t="s">
        <v>325</v>
      </c>
      <c r="D121" s="26"/>
      <c r="E121" s="10"/>
      <c r="F121" s="19">
        <f>Source!AO81</f>
        <v>140.94999999999999</v>
      </c>
      <c r="G121" s="27" t="str">
        <f>Source!DG81</f>
        <v/>
      </c>
      <c r="H121" s="19">
        <f>ROUND(Source!AF81*Source!I81, 2)</f>
        <v>56.38</v>
      </c>
      <c r="I121" s="27">
        <f>IF(Source!BA81&lt;&gt; 0, Source!BA81, 1)</f>
        <v>24.76</v>
      </c>
      <c r="J121" s="19">
        <f>Source!S81</f>
        <v>1395.97</v>
      </c>
      <c r="Q121">
        <f>ROUND(Source!AF81*Source!I81, 2)</f>
        <v>56.38</v>
      </c>
    </row>
    <row r="122" spans="1:21" ht="14.25" x14ac:dyDescent="0.2">
      <c r="A122" s="24"/>
      <c r="B122" s="25"/>
      <c r="C122" s="25" t="s">
        <v>330</v>
      </c>
      <c r="D122" s="26"/>
      <c r="E122" s="10"/>
      <c r="F122" s="19">
        <f>Source!AM81</f>
        <v>100.11</v>
      </c>
      <c r="G122" s="27" t="str">
        <f>Source!DE81</f>
        <v/>
      </c>
      <c r="H122" s="19">
        <f>ROUND(Source!AD81*Source!I81, 2)</f>
        <v>40.04</v>
      </c>
      <c r="I122" s="27">
        <f>IF(Source!BB81&lt;&gt; 0, Source!BB81, 1)</f>
        <v>8.98</v>
      </c>
      <c r="J122" s="19">
        <f>Source!Q81</f>
        <v>359.6</v>
      </c>
    </row>
    <row r="123" spans="1:21" ht="14.25" x14ac:dyDescent="0.2">
      <c r="A123" s="24"/>
      <c r="B123" s="25"/>
      <c r="C123" s="25" t="s">
        <v>331</v>
      </c>
      <c r="D123" s="26"/>
      <c r="E123" s="10"/>
      <c r="F123" s="19">
        <f>Source!AN81</f>
        <v>16.59</v>
      </c>
      <c r="G123" s="27" t="str">
        <f>Source!DF81</f>
        <v/>
      </c>
      <c r="H123" s="36">
        <f>ROUND(Source!AE81*Source!I81, 2)</f>
        <v>6.64</v>
      </c>
      <c r="I123" s="27">
        <f>IF(Source!BS81&lt;&gt; 0, Source!BS81, 1)</f>
        <v>24.76</v>
      </c>
      <c r="J123" s="36">
        <f>Source!R81</f>
        <v>164.31</v>
      </c>
      <c r="Q123">
        <f>ROUND(Source!AE81*Source!I81, 2)</f>
        <v>6.64</v>
      </c>
    </row>
    <row r="124" spans="1:21" ht="14.25" x14ac:dyDescent="0.2">
      <c r="A124" s="24"/>
      <c r="B124" s="25"/>
      <c r="C124" s="25" t="str">
        <f>CONCATENATE("НР от ФОТ [к тек. уровню ", Source!FV81, "]")</f>
        <v>НР от ФОТ [к тек. уровню *0,85]</v>
      </c>
      <c r="D124" s="26" t="s">
        <v>326</v>
      </c>
      <c r="E124" s="10">
        <f>Source!BZ81</f>
        <v>115</v>
      </c>
      <c r="F124" s="19"/>
      <c r="G124" s="27"/>
      <c r="H124" s="19">
        <f>SUM(R120:R123)</f>
        <v>72.47</v>
      </c>
      <c r="I124" s="27">
        <f>Source!AT81</f>
        <v>98</v>
      </c>
      <c r="J124" s="19">
        <f>SUM(S120:S123)</f>
        <v>1529.07</v>
      </c>
    </row>
    <row r="125" spans="1:21" ht="14.25" x14ac:dyDescent="0.2">
      <c r="A125" s="24"/>
      <c r="B125" s="25"/>
      <c r="C125" s="25" t="str">
        <f>CONCATENATE("СП от ФОТ [к тек. уровню ", Source!FW81, "]")</f>
        <v>СП от ФОТ [к тек. уровню *0,8]</v>
      </c>
      <c r="D125" s="26" t="s">
        <v>326</v>
      </c>
      <c r="E125" s="10">
        <f>Source!CA81</f>
        <v>90</v>
      </c>
      <c r="F125" s="19"/>
      <c r="G125" s="27"/>
      <c r="H125" s="19">
        <f>SUM(T120:T124)</f>
        <v>56.72</v>
      </c>
      <c r="I125" s="27">
        <f>Source!AU81</f>
        <v>72</v>
      </c>
      <c r="J125" s="19">
        <f>SUM(U120:U124)</f>
        <v>1123.4000000000001</v>
      </c>
    </row>
    <row r="126" spans="1:21" ht="14.25" x14ac:dyDescent="0.2">
      <c r="A126" s="30"/>
      <c r="B126" s="31"/>
      <c r="C126" s="31" t="s">
        <v>327</v>
      </c>
      <c r="D126" s="32" t="s">
        <v>328</v>
      </c>
      <c r="E126" s="33">
        <f>Source!AQ81</f>
        <v>18.07</v>
      </c>
      <c r="F126" s="34"/>
      <c r="G126" s="35" t="str">
        <f>Source!DI81</f>
        <v/>
      </c>
      <c r="H126" s="34">
        <f>Source!U81</f>
        <v>7.2280000000000006</v>
      </c>
      <c r="I126" s="35"/>
      <c r="J126" s="34"/>
    </row>
    <row r="127" spans="1:21" ht="15" x14ac:dyDescent="0.25">
      <c r="C127" s="28" t="s">
        <v>329</v>
      </c>
      <c r="G127" s="58">
        <f>ROUND(Source!AC81*Source!I81, 2)+ROUND(Source!AF81*Source!I81, 2)+ROUND(Source!AD81*Source!I81, 2)+SUM(H124:H125)</f>
        <v>225.61</v>
      </c>
      <c r="H127" s="58"/>
      <c r="I127" s="58">
        <f>Source!P81+Source!Q81+Source!S81+SUM(J124:J125)</f>
        <v>4408.0400000000009</v>
      </c>
      <c r="J127" s="58"/>
      <c r="O127" s="29">
        <f>G127</f>
        <v>225.61</v>
      </c>
      <c r="P127" s="29">
        <f>I127</f>
        <v>4408.0400000000009</v>
      </c>
    </row>
    <row r="128" spans="1:21" ht="28.5" x14ac:dyDescent="0.2">
      <c r="A128" s="24" t="str">
        <f>Source!E82</f>
        <v>16</v>
      </c>
      <c r="B128" s="25" t="str">
        <f>Source!F82</f>
        <v>47-01-009-07</v>
      </c>
      <c r="C128" s="25" t="str">
        <f>Source!G82</f>
        <v>Посадка деревьев и кустарников с комом земли размером 1,0x1,0x0,6 м</v>
      </c>
      <c r="D128" s="26" t="str">
        <f>Source!H82</f>
        <v>10 ШТ</v>
      </c>
      <c r="E128" s="10">
        <f>Source!I82</f>
        <v>0.4</v>
      </c>
      <c r="F128" s="19"/>
      <c r="G128" s="27"/>
      <c r="H128" s="19"/>
      <c r="I128" s="27" t="str">
        <f>Source!BO82</f>
        <v/>
      </c>
      <c r="J128" s="19"/>
      <c r="R128">
        <f>ROUND((Source!FX82/100)*((ROUND(Source!AF82*Source!I82, 2)+ROUND(Source!AE82*Source!I82, 2))), 2)</f>
        <v>209.45</v>
      </c>
      <c r="S128">
        <f>Source!X82</f>
        <v>4419.3</v>
      </c>
      <c r="T128">
        <f>ROUND((Source!FY82/100)*((ROUND(Source!AF82*Source!I82, 2)+ROUND(Source!AE82*Source!I82, 2))), 2)</f>
        <v>163.92</v>
      </c>
      <c r="U128">
        <f>Source!Y82</f>
        <v>3246.83</v>
      </c>
    </row>
    <row r="129" spans="1:21" ht="14.25" x14ac:dyDescent="0.2">
      <c r="A129" s="24"/>
      <c r="B129" s="25"/>
      <c r="C129" s="25" t="s">
        <v>325</v>
      </c>
      <c r="D129" s="26"/>
      <c r="E129" s="10"/>
      <c r="F129" s="19">
        <f>Source!AO82</f>
        <v>414.14</v>
      </c>
      <c r="G129" s="27" t="str">
        <f>Source!DG82</f>
        <v/>
      </c>
      <c r="H129" s="19">
        <f>ROUND(Source!AF82*Source!I82, 2)</f>
        <v>165.66</v>
      </c>
      <c r="I129" s="27">
        <f>IF(Source!BA82&lt;&gt; 0, Source!BA82, 1)</f>
        <v>24.76</v>
      </c>
      <c r="J129" s="19">
        <f>Source!S82</f>
        <v>4101.6400000000003</v>
      </c>
      <c r="Q129">
        <f>ROUND(Source!AF82*Source!I82, 2)</f>
        <v>165.66</v>
      </c>
    </row>
    <row r="130" spans="1:21" ht="14.25" x14ac:dyDescent="0.2">
      <c r="A130" s="24"/>
      <c r="B130" s="25"/>
      <c r="C130" s="25" t="s">
        <v>330</v>
      </c>
      <c r="D130" s="26"/>
      <c r="E130" s="10"/>
      <c r="F130" s="19">
        <f>Source!AM82</f>
        <v>361.14</v>
      </c>
      <c r="G130" s="27" t="str">
        <f>Source!DE82</f>
        <v/>
      </c>
      <c r="H130" s="19">
        <f>ROUND(Source!AD82*Source!I82, 2)</f>
        <v>144.46</v>
      </c>
      <c r="I130" s="27">
        <f>IF(Source!BB82&lt;&gt; 0, Source!BB82, 1)</f>
        <v>6.89</v>
      </c>
      <c r="J130" s="19">
        <f>Source!Q82</f>
        <v>995.3</v>
      </c>
    </row>
    <row r="131" spans="1:21" ht="14.25" x14ac:dyDescent="0.2">
      <c r="A131" s="24"/>
      <c r="B131" s="25"/>
      <c r="C131" s="25" t="s">
        <v>331</v>
      </c>
      <c r="D131" s="26"/>
      <c r="E131" s="10"/>
      <c r="F131" s="19">
        <f>Source!AN82</f>
        <v>41.18</v>
      </c>
      <c r="G131" s="27" t="str">
        <f>Source!DF82</f>
        <v/>
      </c>
      <c r="H131" s="36">
        <f>ROUND(Source!AE82*Source!I82, 2)</f>
        <v>16.47</v>
      </c>
      <c r="I131" s="27">
        <f>IF(Source!BS82&lt;&gt; 0, Source!BS82, 1)</f>
        <v>24.76</v>
      </c>
      <c r="J131" s="36">
        <f>Source!R82</f>
        <v>407.85</v>
      </c>
      <c r="Q131">
        <f>ROUND(Source!AE82*Source!I82, 2)</f>
        <v>16.47</v>
      </c>
    </row>
    <row r="132" spans="1:21" ht="14.25" x14ac:dyDescent="0.2">
      <c r="A132" s="24"/>
      <c r="B132" s="25"/>
      <c r="C132" s="25" t="s">
        <v>334</v>
      </c>
      <c r="D132" s="26"/>
      <c r="E132" s="10"/>
      <c r="F132" s="19">
        <f>Source!AL82</f>
        <v>415.88</v>
      </c>
      <c r="G132" s="27" t="str">
        <f>Source!DD82</f>
        <v/>
      </c>
      <c r="H132" s="19">
        <f>ROUND(Source!AC82*Source!I82, 2)</f>
        <v>166.35</v>
      </c>
      <c r="I132" s="27">
        <f>IF(Source!BC82&lt;&gt; 0, Source!BC82, 1)</f>
        <v>2.98</v>
      </c>
      <c r="J132" s="19">
        <f>Source!P82</f>
        <v>495.73</v>
      </c>
    </row>
    <row r="133" spans="1:21" ht="52.5" x14ac:dyDescent="0.2">
      <c r="A133" s="24" t="str">
        <f>Source!E83</f>
        <v>16,1</v>
      </c>
      <c r="B133" s="25" t="str">
        <f>Source!F83</f>
        <v>КА п.1</v>
      </c>
      <c r="C133" s="25" t="s">
        <v>336</v>
      </c>
      <c r="D133" s="26" t="str">
        <f>Source!H83</f>
        <v>ШТ</v>
      </c>
      <c r="E133" s="10">
        <f>Source!I83</f>
        <v>2</v>
      </c>
      <c r="F133" s="19">
        <f>Source!AK83</f>
        <v>11765.02</v>
      </c>
      <c r="G133" s="37" t="s">
        <v>3</v>
      </c>
      <c r="H133" s="19">
        <f>ROUND(Source!AC83*Source!I83, 2)+ROUND(Source!AD83*Source!I83, 2)+ROUND(Source!AF83*Source!I83, 2)</f>
        <v>23530.04</v>
      </c>
      <c r="I133" s="27">
        <f>IF(Source!BC83&lt;&gt; 0, Source!BC83, 1)</f>
        <v>7.24</v>
      </c>
      <c r="J133" s="19">
        <f>Source!O83</f>
        <v>170357.49</v>
      </c>
      <c r="R133">
        <f>ROUND((Source!FX83/100)*((ROUND(Source!AF83*Source!I83, 2)+ROUND(Source!AE83*Source!I83, 2))), 2)</f>
        <v>0</v>
      </c>
      <c r="S133">
        <f>Source!X83</f>
        <v>0</v>
      </c>
      <c r="T133">
        <f>ROUND((Source!FY83/100)*((ROUND(Source!AF83*Source!I83, 2)+ROUND(Source!AE83*Source!I83, 2))), 2)</f>
        <v>0</v>
      </c>
      <c r="U133">
        <f>Source!Y83</f>
        <v>0</v>
      </c>
    </row>
    <row r="134" spans="1:21" ht="52.5" x14ac:dyDescent="0.2">
      <c r="A134" s="24" t="str">
        <f>Source!E84</f>
        <v>16,2</v>
      </c>
      <c r="B134" s="25" t="str">
        <f>Source!F84</f>
        <v>КА п.2</v>
      </c>
      <c r="C134" s="25" t="s">
        <v>337</v>
      </c>
      <c r="D134" s="26" t="str">
        <f>Source!H84</f>
        <v>ШТ</v>
      </c>
      <c r="E134" s="10">
        <f>Source!I84</f>
        <v>2</v>
      </c>
      <c r="F134" s="19">
        <f>Source!AK84</f>
        <v>13281.3</v>
      </c>
      <c r="G134" s="37" t="s">
        <v>3</v>
      </c>
      <c r="H134" s="19">
        <f>ROUND(Source!AC84*Source!I84, 2)+ROUND(Source!AD84*Source!I84, 2)+ROUND(Source!AF84*Source!I84, 2)</f>
        <v>26562.6</v>
      </c>
      <c r="I134" s="27">
        <f>IF(Source!BC84&lt;&gt; 0, Source!BC84, 1)</f>
        <v>7.24</v>
      </c>
      <c r="J134" s="19">
        <f>Source!O84</f>
        <v>192313.22</v>
      </c>
      <c r="R134">
        <f>ROUND((Source!FX84/100)*((ROUND(Source!AF84*Source!I84, 2)+ROUND(Source!AE84*Source!I84, 2))), 2)</f>
        <v>0</v>
      </c>
      <c r="S134">
        <f>Source!X84</f>
        <v>0</v>
      </c>
      <c r="T134">
        <f>ROUND((Source!FY84/100)*((ROUND(Source!AF84*Source!I84, 2)+ROUND(Source!AE84*Source!I84, 2))), 2)</f>
        <v>0</v>
      </c>
      <c r="U134">
        <f>Source!Y84</f>
        <v>0</v>
      </c>
    </row>
    <row r="135" spans="1:21" ht="14.25" x14ac:dyDescent="0.2">
      <c r="A135" s="24"/>
      <c r="B135" s="25"/>
      <c r="C135" s="25" t="str">
        <f>CONCATENATE("НР от ФОТ [к тек. уровню ", Source!FV82, "]")</f>
        <v>НР от ФОТ [к тек. уровню *0,85]</v>
      </c>
      <c r="D135" s="26" t="s">
        <v>326</v>
      </c>
      <c r="E135" s="10">
        <f>Source!BZ82</f>
        <v>115</v>
      </c>
      <c r="F135" s="19"/>
      <c r="G135" s="27"/>
      <c r="H135" s="19">
        <f>SUM(R128:R134)</f>
        <v>209.45</v>
      </c>
      <c r="I135" s="27">
        <f>Source!AT82</f>
        <v>98</v>
      </c>
      <c r="J135" s="19">
        <f>SUM(S128:S134)</f>
        <v>4419.3</v>
      </c>
    </row>
    <row r="136" spans="1:21" ht="14.25" x14ac:dyDescent="0.2">
      <c r="A136" s="24"/>
      <c r="B136" s="25"/>
      <c r="C136" s="25" t="str">
        <f>CONCATENATE("СП от ФОТ [к тек. уровню ", Source!FW82, "]")</f>
        <v>СП от ФОТ [к тек. уровню *0,8]</v>
      </c>
      <c r="D136" s="26" t="s">
        <v>326</v>
      </c>
      <c r="E136" s="10">
        <f>Source!CA82</f>
        <v>90</v>
      </c>
      <c r="F136" s="19"/>
      <c r="G136" s="27"/>
      <c r="H136" s="19">
        <f>SUM(T128:T135)</f>
        <v>163.92</v>
      </c>
      <c r="I136" s="27">
        <f>Source!AU82</f>
        <v>72</v>
      </c>
      <c r="J136" s="19">
        <f>SUM(U128:U135)</f>
        <v>3246.83</v>
      </c>
    </row>
    <row r="137" spans="1:21" ht="14.25" x14ac:dyDescent="0.2">
      <c r="A137" s="30"/>
      <c r="B137" s="31"/>
      <c r="C137" s="31" t="s">
        <v>327</v>
      </c>
      <c r="D137" s="32" t="s">
        <v>328</v>
      </c>
      <c r="E137" s="33">
        <f>Source!AQ82</f>
        <v>43.05</v>
      </c>
      <c r="F137" s="34"/>
      <c r="G137" s="35" t="str">
        <f>Source!DI82</f>
        <v/>
      </c>
      <c r="H137" s="34">
        <f>Source!U82</f>
        <v>17.22</v>
      </c>
      <c r="I137" s="35"/>
      <c r="J137" s="34"/>
    </row>
    <row r="138" spans="1:21" ht="15" x14ac:dyDescent="0.25">
      <c r="C138" s="28" t="s">
        <v>329</v>
      </c>
      <c r="G138" s="58">
        <f>ROUND(Source!AC82*Source!I82, 2)+ROUND(Source!AF82*Source!I82, 2)+ROUND(Source!AD82*Source!I82, 2)+SUM(H133:H136)</f>
        <v>50942.479999999996</v>
      </c>
      <c r="H138" s="58"/>
      <c r="I138" s="58">
        <f>Source!P82+Source!Q82+Source!S82+SUM(J133:J136)</f>
        <v>375929.50999999995</v>
      </c>
      <c r="J138" s="58"/>
      <c r="O138" s="29">
        <f>G138</f>
        <v>50942.479999999996</v>
      </c>
      <c r="P138" s="29">
        <f>I138</f>
        <v>375929.50999999995</v>
      </c>
    </row>
    <row r="140" spans="1:21" ht="15" x14ac:dyDescent="0.25">
      <c r="A140" s="43" t="str">
        <f>CONCATENATE("Итого по разделу: ",IF(Source!G86&lt;&gt;"Новый раздел", Source!G86, ""))</f>
        <v>Итого по разделу: Озеленение</v>
      </c>
      <c r="B140" s="43"/>
      <c r="C140" s="43"/>
      <c r="D140" s="43"/>
      <c r="E140" s="43"/>
      <c r="F140" s="43"/>
      <c r="G140" s="58">
        <f>SUM(O72:O139)</f>
        <v>1876039.4000000001</v>
      </c>
      <c r="H140" s="58"/>
      <c r="I140" s="58">
        <f>SUM(P72:P139)</f>
        <v>14242604.949999999</v>
      </c>
      <c r="J140" s="58"/>
    </row>
    <row r="142" spans="1:21" ht="15" x14ac:dyDescent="0.25">
      <c r="A142" s="43" t="str">
        <f>CONCATENATE("Итого по локальной смете: ",IF(Source!G115&lt;&gt;"Новая локальная смета", Source!G115, ""))</f>
        <v xml:space="preserve">Итого по локальной смете: </v>
      </c>
      <c r="B142" s="43"/>
      <c r="C142" s="43"/>
      <c r="D142" s="43"/>
      <c r="E142" s="43"/>
      <c r="F142" s="43"/>
      <c r="G142" s="58">
        <f>SUM(O35:O141)</f>
        <v>1892354.2700000003</v>
      </c>
      <c r="H142" s="58"/>
      <c r="I142" s="58">
        <f>SUM(P35:P141)</f>
        <v>14507333.34</v>
      </c>
      <c r="J142" s="58"/>
    </row>
    <row r="144" spans="1:21" ht="15" x14ac:dyDescent="0.25">
      <c r="A144" s="43" t="s">
        <v>355</v>
      </c>
      <c r="B144" s="43"/>
      <c r="C144" s="43"/>
      <c r="D144" s="43"/>
      <c r="E144" s="43"/>
      <c r="F144" s="43"/>
    </row>
    <row r="146" spans="1:10" ht="15" x14ac:dyDescent="0.25">
      <c r="A146" s="43" t="s">
        <v>344</v>
      </c>
      <c r="B146" s="43"/>
      <c r="C146" s="43"/>
      <c r="D146" s="43"/>
      <c r="E146" s="43"/>
      <c r="F146" s="43"/>
      <c r="G146" s="60"/>
      <c r="H146" s="60"/>
      <c r="I146" s="60"/>
      <c r="J146" s="60"/>
    </row>
    <row r="148" spans="1:10" ht="15" x14ac:dyDescent="0.25">
      <c r="A148" s="43" t="s">
        <v>345</v>
      </c>
      <c r="B148" s="43"/>
      <c r="C148" s="43"/>
      <c r="D148" s="43"/>
      <c r="E148" s="43"/>
      <c r="F148" s="43"/>
      <c r="G148" s="58"/>
      <c r="H148" s="58"/>
      <c r="I148" s="58"/>
      <c r="J148" s="58"/>
    </row>
    <row r="151" spans="1:10" ht="14.25" x14ac:dyDescent="0.2">
      <c r="A151" s="61"/>
      <c r="B151" s="61"/>
      <c r="C151" s="41"/>
      <c r="D151" s="41"/>
      <c r="E151" s="41"/>
      <c r="F151" s="41"/>
      <c r="G151" s="41"/>
      <c r="H151" s="41"/>
      <c r="I151" s="41"/>
      <c r="J151" s="13"/>
    </row>
    <row r="152" spans="1:10" ht="14.25" x14ac:dyDescent="0.2">
      <c r="A152" s="41"/>
      <c r="B152" s="41"/>
      <c r="C152" s="59"/>
      <c r="D152" s="59"/>
      <c r="E152" s="59"/>
      <c r="F152" s="59"/>
      <c r="G152" s="59"/>
      <c r="H152" s="41"/>
      <c r="I152" s="41"/>
      <c r="J152" s="13"/>
    </row>
    <row r="153" spans="1:10" ht="14.25" x14ac:dyDescent="0.2">
      <c r="A153" s="41"/>
      <c r="B153" s="41"/>
      <c r="C153" s="41"/>
      <c r="D153" s="41"/>
      <c r="E153" s="41"/>
      <c r="F153" s="41"/>
      <c r="G153" s="41"/>
      <c r="H153" s="41"/>
      <c r="I153" s="41"/>
      <c r="J153" s="13"/>
    </row>
    <row r="154" spans="1:10" ht="14.25" x14ac:dyDescent="0.2">
      <c r="A154" s="61"/>
      <c r="B154" s="61"/>
      <c r="C154" s="41"/>
      <c r="D154" s="41"/>
      <c r="E154" s="41"/>
      <c r="F154" s="41"/>
      <c r="G154" s="41"/>
      <c r="H154" s="41"/>
      <c r="I154" s="41"/>
      <c r="J154" s="13"/>
    </row>
    <row r="155" spans="1:10" ht="14.25" x14ac:dyDescent="0.2">
      <c r="A155" s="41"/>
      <c r="B155" s="41"/>
      <c r="C155" s="59"/>
      <c r="D155" s="59"/>
      <c r="E155" s="59"/>
      <c r="F155" s="59"/>
      <c r="G155" s="59"/>
      <c r="H155" s="41"/>
      <c r="I155" s="41"/>
      <c r="J155" s="13"/>
    </row>
    <row r="156" spans="1:10" x14ac:dyDescent="0.2">
      <c r="A156" s="42"/>
      <c r="B156" s="42"/>
      <c r="C156" s="42"/>
      <c r="D156" s="42"/>
      <c r="E156" s="42"/>
      <c r="F156" s="42"/>
      <c r="G156" s="42"/>
      <c r="H156" s="42"/>
      <c r="I156" s="42"/>
    </row>
    <row r="157" spans="1:10" x14ac:dyDescent="0.2">
      <c r="A157" s="42"/>
      <c r="B157" s="42"/>
      <c r="C157" s="42"/>
      <c r="D157" s="42"/>
      <c r="E157" s="42"/>
      <c r="F157" s="42"/>
      <c r="G157" s="42"/>
      <c r="H157" s="42"/>
      <c r="I157" s="42"/>
    </row>
    <row r="158" spans="1:10" x14ac:dyDescent="0.2">
      <c r="A158" s="42"/>
      <c r="B158" s="42"/>
      <c r="C158" s="42"/>
      <c r="D158" s="42"/>
      <c r="E158" s="42"/>
      <c r="F158" s="42"/>
      <c r="G158" s="42"/>
      <c r="H158" s="42"/>
      <c r="I158" s="42"/>
    </row>
  </sheetData>
  <mergeCells count="73">
    <mergeCell ref="C155:G155"/>
    <mergeCell ref="A146:F146"/>
    <mergeCell ref="G146:H146"/>
    <mergeCell ref="I146:J146"/>
    <mergeCell ref="A148:F148"/>
    <mergeCell ref="I148:J148"/>
    <mergeCell ref="G148:H148"/>
    <mergeCell ref="A151:B151"/>
    <mergeCell ref="C152:G152"/>
    <mergeCell ref="A154:B154"/>
    <mergeCell ref="A140:F140"/>
    <mergeCell ref="I140:J140"/>
    <mergeCell ref="G140:H140"/>
    <mergeCell ref="A142:F142"/>
    <mergeCell ref="I142:J142"/>
    <mergeCell ref="G142:H142"/>
    <mergeCell ref="I119:J119"/>
    <mergeCell ref="G119:H119"/>
    <mergeCell ref="I127:J127"/>
    <mergeCell ref="G127:H127"/>
    <mergeCell ref="I138:J138"/>
    <mergeCell ref="G138:H138"/>
    <mergeCell ref="I88:J88"/>
    <mergeCell ref="G88:H88"/>
    <mergeCell ref="I99:J99"/>
    <mergeCell ref="G99:H99"/>
    <mergeCell ref="I110:J110"/>
    <mergeCell ref="G110:H110"/>
    <mergeCell ref="I86:J86"/>
    <mergeCell ref="G86:H86"/>
    <mergeCell ref="I64:J64"/>
    <mergeCell ref="G64:H64"/>
    <mergeCell ref="I66:J66"/>
    <mergeCell ref="G66:H66"/>
    <mergeCell ref="A72:J72"/>
    <mergeCell ref="I82:J82"/>
    <mergeCell ref="G82:H82"/>
    <mergeCell ref="I84:J84"/>
    <mergeCell ref="G84:H84"/>
    <mergeCell ref="I42:J42"/>
    <mergeCell ref="G42:H42"/>
    <mergeCell ref="I50:J50"/>
    <mergeCell ref="G50:H50"/>
    <mergeCell ref="A68:F68"/>
    <mergeCell ref="I68:J68"/>
    <mergeCell ref="G68:H68"/>
    <mergeCell ref="I58:J58"/>
    <mergeCell ref="G58:H58"/>
    <mergeCell ref="I60:J60"/>
    <mergeCell ref="G60:H60"/>
    <mergeCell ref="I62:J62"/>
    <mergeCell ref="G62:H62"/>
    <mergeCell ref="A22:J22"/>
    <mergeCell ref="A24:J24"/>
    <mergeCell ref="E28:G28"/>
    <mergeCell ref="E30:G30"/>
    <mergeCell ref="A36:J36"/>
    <mergeCell ref="A144:F144"/>
    <mergeCell ref="B5:E5"/>
    <mergeCell ref="G5:J5"/>
    <mergeCell ref="B6:E6"/>
    <mergeCell ref="G6:J6"/>
    <mergeCell ref="B9:E9"/>
    <mergeCell ref="G9:J9"/>
    <mergeCell ref="E29:G29"/>
    <mergeCell ref="B10:E10"/>
    <mergeCell ref="G10:J10"/>
    <mergeCell ref="A13:J13"/>
    <mergeCell ref="A14:J14"/>
    <mergeCell ref="A16:J16"/>
    <mergeCell ref="A17:J17"/>
    <mergeCell ref="A19:J19"/>
    <mergeCell ref="A21:J21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07"/>
  <sheetViews>
    <sheetView topLeftCell="D1" workbookViewId="0">
      <selection activeCell="AE12" sqref="AE1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202</v>
      </c>
      <c r="C12" s="1">
        <v>0</v>
      </c>
      <c r="D12" s="1">
        <f>ROW(A144)</f>
        <v>144</v>
      </c>
      <c r="E12" s="1">
        <v>0</v>
      </c>
      <c r="F12" s="1" t="s">
        <v>4</v>
      </c>
      <c r="G12" s="1" t="s">
        <v>341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39" t="s">
        <v>349</v>
      </c>
      <c r="AB12" s="39" t="s">
        <v>346</v>
      </c>
      <c r="AC12" s="39" t="s">
        <v>348</v>
      </c>
      <c r="AD12" s="39" t="s">
        <v>347</v>
      </c>
      <c r="AE12" s="39"/>
      <c r="AF12" s="39"/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720904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B144</f>
        <v>202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Выполнение работ по озеленению объекта: "Внутригородские системы инженерно-технического обеспечения, комплексное благоустройство и озеленение инновационного центра "Сколково". Дороги и магистральные инженерные коммуникации по Бульвару"</v>
      </c>
      <c r="H18" s="2"/>
      <c r="I18" s="2"/>
      <c r="J18" s="2"/>
      <c r="K18" s="2"/>
      <c r="L18" s="2"/>
      <c r="M18" s="2"/>
      <c r="N18" s="2"/>
      <c r="O18" s="2">
        <f t="shared" ref="O18:AT18" si="1">O144</f>
        <v>13482015.789999999</v>
      </c>
      <c r="P18" s="2">
        <f t="shared" si="1"/>
        <v>12949674.039999999</v>
      </c>
      <c r="Q18" s="2">
        <f t="shared" si="1"/>
        <v>72820.13</v>
      </c>
      <c r="R18" s="2">
        <f t="shared" si="1"/>
        <v>30052.22</v>
      </c>
      <c r="S18" s="2">
        <f t="shared" si="1"/>
        <v>459521.62</v>
      </c>
      <c r="T18" s="2">
        <f t="shared" si="1"/>
        <v>0</v>
      </c>
      <c r="U18" s="2">
        <f t="shared" si="1"/>
        <v>2195.1771680000002</v>
      </c>
      <c r="V18" s="2">
        <f t="shared" si="1"/>
        <v>101.836832</v>
      </c>
      <c r="W18" s="2">
        <f t="shared" si="1"/>
        <v>0</v>
      </c>
      <c r="X18" s="2">
        <f t="shared" si="1"/>
        <v>499931.55</v>
      </c>
      <c r="Y18" s="2">
        <f t="shared" si="1"/>
        <v>355057.17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14507333.34</v>
      </c>
      <c r="AS18" s="2">
        <f t="shared" si="1"/>
        <v>14456436.119999999</v>
      </c>
      <c r="AT18" s="2">
        <f t="shared" si="1"/>
        <v>0</v>
      </c>
      <c r="AU18" s="2">
        <f t="shared" ref="AU18:BZ18" si="2">AU144</f>
        <v>50897.22</v>
      </c>
      <c r="AV18" s="2">
        <f t="shared" si="2"/>
        <v>12949674.039999999</v>
      </c>
      <c r="AW18" s="2">
        <f t="shared" si="2"/>
        <v>12949674.039999999</v>
      </c>
      <c r="AX18" s="2">
        <f t="shared" si="2"/>
        <v>0</v>
      </c>
      <c r="AY18" s="2">
        <f t="shared" si="2"/>
        <v>12949674.039999999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CA144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DG144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EM144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FS144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ROW(A115)</f>
        <v>115</v>
      </c>
      <c r="E20" s="1"/>
      <c r="F20" s="38" t="s">
        <v>340</v>
      </c>
      <c r="G20" s="1" t="s">
        <v>11</v>
      </c>
      <c r="H20" s="1" t="s">
        <v>3</v>
      </c>
      <c r="I20" s="1">
        <v>0</v>
      </c>
      <c r="J20" s="1" t="s">
        <v>342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B115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07-01-01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O115</f>
        <v>13482015.789999999</v>
      </c>
      <c r="P22" s="2">
        <f t="shared" si="8"/>
        <v>12949674.039999999</v>
      </c>
      <c r="Q22" s="2">
        <f t="shared" si="8"/>
        <v>72820.13</v>
      </c>
      <c r="R22" s="2">
        <f t="shared" si="8"/>
        <v>30052.22</v>
      </c>
      <c r="S22" s="2">
        <f t="shared" si="8"/>
        <v>459521.62</v>
      </c>
      <c r="T22" s="2">
        <f t="shared" si="8"/>
        <v>0</v>
      </c>
      <c r="U22" s="2">
        <f t="shared" si="8"/>
        <v>2195.1771680000002</v>
      </c>
      <c r="V22" s="2">
        <f t="shared" si="8"/>
        <v>101.836832</v>
      </c>
      <c r="W22" s="2">
        <f t="shared" si="8"/>
        <v>0</v>
      </c>
      <c r="X22" s="2">
        <f t="shared" si="8"/>
        <v>499931.55</v>
      </c>
      <c r="Y22" s="2">
        <f t="shared" si="8"/>
        <v>355057.17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14507333.34</v>
      </c>
      <c r="AS22" s="2">
        <f t="shared" si="8"/>
        <v>14456436.119999999</v>
      </c>
      <c r="AT22" s="2">
        <f t="shared" si="8"/>
        <v>0</v>
      </c>
      <c r="AU22" s="2">
        <f t="shared" ref="AU22:BZ22" si="9">AU115</f>
        <v>50897.22</v>
      </c>
      <c r="AV22" s="2">
        <f t="shared" si="9"/>
        <v>12949674.039999999</v>
      </c>
      <c r="AW22" s="2">
        <f t="shared" si="9"/>
        <v>12949674.039999999</v>
      </c>
      <c r="AX22" s="2">
        <f t="shared" si="9"/>
        <v>0</v>
      </c>
      <c r="AY22" s="2">
        <f t="shared" si="9"/>
        <v>12949674.039999999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CA115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DG115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EM115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FS115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ROW(A36)</f>
        <v>36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Демонтажные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O36</f>
        <v>96884.84</v>
      </c>
      <c r="P26" s="2">
        <f t="shared" si="15"/>
        <v>20500.88</v>
      </c>
      <c r="Q26" s="2">
        <f t="shared" si="15"/>
        <v>8240.34</v>
      </c>
      <c r="R26" s="2">
        <f t="shared" si="15"/>
        <v>3164.89</v>
      </c>
      <c r="S26" s="2">
        <f t="shared" si="15"/>
        <v>68143.62</v>
      </c>
      <c r="T26" s="2">
        <f t="shared" si="15"/>
        <v>0</v>
      </c>
      <c r="U26" s="2">
        <f t="shared" si="15"/>
        <v>342.27916800000003</v>
      </c>
      <c r="V26" s="2">
        <f t="shared" si="15"/>
        <v>11.624832000000001</v>
      </c>
      <c r="W26" s="2">
        <f t="shared" si="15"/>
        <v>0</v>
      </c>
      <c r="X26" s="2">
        <f t="shared" si="15"/>
        <v>86283.3</v>
      </c>
      <c r="Y26" s="2">
        <f t="shared" si="15"/>
        <v>54194.47</v>
      </c>
      <c r="Z26" s="2">
        <f t="shared" si="15"/>
        <v>0</v>
      </c>
      <c r="AA26" s="2">
        <f t="shared" si="15"/>
        <v>0</v>
      </c>
      <c r="AB26" s="2">
        <f t="shared" si="15"/>
        <v>96884.84</v>
      </c>
      <c r="AC26" s="2">
        <f t="shared" si="15"/>
        <v>20500.88</v>
      </c>
      <c r="AD26" s="2">
        <f t="shared" si="15"/>
        <v>8240.34</v>
      </c>
      <c r="AE26" s="2">
        <f t="shared" si="15"/>
        <v>3164.89</v>
      </c>
      <c r="AF26" s="2">
        <f t="shared" si="15"/>
        <v>68143.62</v>
      </c>
      <c r="AG26" s="2">
        <f t="shared" si="15"/>
        <v>0</v>
      </c>
      <c r="AH26" s="2">
        <f t="shared" si="15"/>
        <v>342.27916800000003</v>
      </c>
      <c r="AI26" s="2">
        <f t="shared" si="15"/>
        <v>11.624832000000001</v>
      </c>
      <c r="AJ26" s="2">
        <f t="shared" si="15"/>
        <v>0</v>
      </c>
      <c r="AK26" s="2">
        <f t="shared" si="15"/>
        <v>86283.3</v>
      </c>
      <c r="AL26" s="2">
        <f t="shared" si="15"/>
        <v>54194.47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264728.39</v>
      </c>
      <c r="AS26" s="2">
        <f t="shared" si="15"/>
        <v>244227.51</v>
      </c>
      <c r="AT26" s="2">
        <f t="shared" si="15"/>
        <v>0</v>
      </c>
      <c r="AU26" s="2">
        <f t="shared" ref="AU26:BZ26" si="16">AU36</f>
        <v>20500.88</v>
      </c>
      <c r="AV26" s="2">
        <f t="shared" si="16"/>
        <v>20500.88</v>
      </c>
      <c r="AW26" s="2">
        <f t="shared" si="16"/>
        <v>20500.88</v>
      </c>
      <c r="AX26" s="2">
        <f t="shared" si="16"/>
        <v>0</v>
      </c>
      <c r="AY26" s="2">
        <f t="shared" si="16"/>
        <v>20500.88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CA36</f>
        <v>264728.39</v>
      </c>
      <c r="CB26" s="2">
        <f t="shared" si="17"/>
        <v>244227.51</v>
      </c>
      <c r="CC26" s="2">
        <f t="shared" si="17"/>
        <v>0</v>
      </c>
      <c r="CD26" s="2">
        <f t="shared" si="17"/>
        <v>20500.88</v>
      </c>
      <c r="CE26" s="2">
        <f t="shared" si="17"/>
        <v>20500.88</v>
      </c>
      <c r="CF26" s="2">
        <f t="shared" si="17"/>
        <v>20500.88</v>
      </c>
      <c r="CG26" s="2">
        <f t="shared" si="17"/>
        <v>0</v>
      </c>
      <c r="CH26" s="2">
        <f t="shared" si="17"/>
        <v>20500.88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14</v>
      </c>
      <c r="F28" t="s">
        <v>15</v>
      </c>
      <c r="G28" t="s">
        <v>16</v>
      </c>
      <c r="H28" t="s">
        <v>17</v>
      </c>
      <c r="I28">
        <f>ROUND(384/100,9)</f>
        <v>3.84</v>
      </c>
      <c r="J28">
        <v>0</v>
      </c>
      <c r="O28">
        <f>ROUND(CP28,2)</f>
        <v>58485.58</v>
      </c>
      <c r="P28">
        <f>ROUND(CQ28*I28,2)</f>
        <v>0</v>
      </c>
      <c r="Q28">
        <f>ROUND(CR28*I28,2)</f>
        <v>0</v>
      </c>
      <c r="R28">
        <f>ROUND(CS28*I28,2)</f>
        <v>0</v>
      </c>
      <c r="S28">
        <f>ROUND(CT28*I28,2)</f>
        <v>58485.58</v>
      </c>
      <c r="T28">
        <f>ROUND(CU28*I28,2)</f>
        <v>0</v>
      </c>
      <c r="U28">
        <f>CV28*I28</f>
        <v>294.52800000000002</v>
      </c>
      <c r="V28">
        <f>CW28*I28</f>
        <v>0</v>
      </c>
      <c r="W28">
        <f>ROUND(CX28*I28,2)</f>
        <v>0</v>
      </c>
      <c r="X28">
        <f t="shared" ref="X28:Y30" si="21">ROUND(CY28,2)</f>
        <v>70767.55</v>
      </c>
      <c r="Y28">
        <f t="shared" si="21"/>
        <v>44449.04</v>
      </c>
      <c r="AA28">
        <v>35026474</v>
      </c>
      <c r="AB28">
        <f>ROUND((AC28+AD28+AF28),2)</f>
        <v>615.13</v>
      </c>
      <c r="AC28">
        <f>ROUND((ES28),2)</f>
        <v>0</v>
      </c>
      <c r="AD28">
        <f>ROUND((((ET28)-(EU28))+AE28),2)</f>
        <v>0</v>
      </c>
      <c r="AE28">
        <f t="shared" ref="AE28:AF30" si="22">ROUND((EU28),2)</f>
        <v>0</v>
      </c>
      <c r="AF28">
        <f t="shared" si="22"/>
        <v>615.13</v>
      </c>
      <c r="AG28">
        <f>ROUND((AP28),2)</f>
        <v>0</v>
      </c>
      <c r="AH28">
        <f t="shared" ref="AH28:AI30" si="23">(EW28)</f>
        <v>76.7</v>
      </c>
      <c r="AI28">
        <f t="shared" si="23"/>
        <v>0</v>
      </c>
      <c r="AJ28">
        <f>ROUND((AS28),2)</f>
        <v>0</v>
      </c>
      <c r="AK28">
        <v>615.13</v>
      </c>
      <c r="AL28">
        <v>0</v>
      </c>
      <c r="AM28">
        <v>0</v>
      </c>
      <c r="AN28">
        <v>0</v>
      </c>
      <c r="AO28">
        <v>615.13</v>
      </c>
      <c r="AP28">
        <v>0</v>
      </c>
      <c r="AQ28">
        <v>76.7</v>
      </c>
      <c r="AR28">
        <v>0</v>
      </c>
      <c r="AS28">
        <v>0</v>
      </c>
      <c r="AT28">
        <v>121</v>
      </c>
      <c r="AU28">
        <v>76</v>
      </c>
      <c r="AV28">
        <v>1</v>
      </c>
      <c r="AW28">
        <v>1</v>
      </c>
      <c r="AZ28">
        <v>1</v>
      </c>
      <c r="BA28">
        <v>24.76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18</v>
      </c>
      <c r="BM28">
        <v>27001</v>
      </c>
      <c r="BN28">
        <v>0</v>
      </c>
      <c r="BO28" t="s">
        <v>15</v>
      </c>
      <c r="BP28">
        <v>1</v>
      </c>
      <c r="BQ28">
        <v>2</v>
      </c>
      <c r="BR28">
        <v>0</v>
      </c>
      <c r="BS28">
        <v>24.76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142</v>
      </c>
      <c r="CA28">
        <v>95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(P28+Q28+S28)</f>
        <v>58485.58</v>
      </c>
      <c r="CQ28">
        <f>AC28*BC28</f>
        <v>0</v>
      </c>
      <c r="CR28">
        <f>AD28*BB28</f>
        <v>0</v>
      </c>
      <c r="CS28">
        <f>AE28*BS28</f>
        <v>0</v>
      </c>
      <c r="CT28">
        <f>AF28*BA28</f>
        <v>15230.6188</v>
      </c>
      <c r="CU28">
        <f t="shared" ref="CU28:CX30" si="24">AG28</f>
        <v>0</v>
      </c>
      <c r="CV28">
        <f t="shared" si="24"/>
        <v>76.7</v>
      </c>
      <c r="CW28">
        <f t="shared" si="24"/>
        <v>0</v>
      </c>
      <c r="CX28">
        <f t="shared" si="24"/>
        <v>0</v>
      </c>
      <c r="CY28">
        <f>(((S28+R28)*AT28)/100)</f>
        <v>70767.551800000001</v>
      </c>
      <c r="CZ28">
        <f>(((S28+R28)*AU28)/100)</f>
        <v>44449.040800000002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17</v>
      </c>
      <c r="DW28" t="s">
        <v>17</v>
      </c>
      <c r="DX28">
        <v>100</v>
      </c>
      <c r="EE28">
        <v>33409533</v>
      </c>
      <c r="EF28">
        <v>2</v>
      </c>
      <c r="EG28" t="s">
        <v>19</v>
      </c>
      <c r="EH28">
        <v>0</v>
      </c>
      <c r="EI28" t="s">
        <v>3</v>
      </c>
      <c r="EJ28">
        <v>1</v>
      </c>
      <c r="EK28">
        <v>27001</v>
      </c>
      <c r="EL28" t="s">
        <v>20</v>
      </c>
      <c r="EM28" t="s">
        <v>21</v>
      </c>
      <c r="EO28" t="s">
        <v>3</v>
      </c>
      <c r="EQ28">
        <v>131072</v>
      </c>
      <c r="ER28">
        <v>615.13</v>
      </c>
      <c r="ES28">
        <v>0</v>
      </c>
      <c r="ET28">
        <v>0</v>
      </c>
      <c r="EU28">
        <v>0</v>
      </c>
      <c r="EV28">
        <v>615.13</v>
      </c>
      <c r="EW28">
        <v>76.7</v>
      </c>
      <c r="EX28">
        <v>0</v>
      </c>
      <c r="EY28">
        <v>0</v>
      </c>
      <c r="FQ28">
        <v>0</v>
      </c>
      <c r="FR28">
        <f t="shared" ref="FR28:FR34" si="25">ROUND(IF(AND(BH28=3,BI28=3),P28,0),2)</f>
        <v>0</v>
      </c>
      <c r="FS28">
        <v>0</v>
      </c>
      <c r="FV28" t="s">
        <v>22</v>
      </c>
      <c r="FW28" t="s">
        <v>23</v>
      </c>
      <c r="FX28">
        <v>142</v>
      </c>
      <c r="FY28">
        <v>95</v>
      </c>
      <c r="GA28" t="s">
        <v>3</v>
      </c>
      <c r="GD28">
        <v>0</v>
      </c>
      <c r="GF28">
        <v>608162664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34" si="26">ROUND(IF(AND(BH28=3,BI28=3,FS28&lt;&gt;0),P28,0),2)</f>
        <v>0</v>
      </c>
      <c r="GM28">
        <f>ROUND(O28+X28+Y28+GK28,2)+GX28</f>
        <v>173702.17</v>
      </c>
      <c r="GN28">
        <f>IF(OR(BI28=0,BI28=1),ROUND(O28+X28+Y28+GK28,2),0)</f>
        <v>173702.17</v>
      </c>
      <c r="GO28">
        <f>IF(BI28=2,ROUND(O28+X28+Y28+GK28,2),0)</f>
        <v>0</v>
      </c>
      <c r="GP28">
        <f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>ROUND(GT28,2)</f>
        <v>0</v>
      </c>
      <c r="GW28">
        <v>1</v>
      </c>
      <c r="GX28">
        <f t="shared" ref="GX28:GX34" si="27">ROUND(GV28*GW28*I28,2)</f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C29">
        <f>ROW(SmtRes!A6)</f>
        <v>6</v>
      </c>
      <c r="D29">
        <f>ROW(EtalonRes!A6)</f>
        <v>6</v>
      </c>
      <c r="E29" t="s">
        <v>24</v>
      </c>
      <c r="F29" t="s">
        <v>25</v>
      </c>
      <c r="G29" t="s">
        <v>26</v>
      </c>
      <c r="H29" t="s">
        <v>27</v>
      </c>
      <c r="I29">
        <f>ROUND(19.2/100,9)</f>
        <v>0.192</v>
      </c>
      <c r="J29">
        <v>0</v>
      </c>
      <c r="O29">
        <f>ROUND(CP29,2)</f>
        <v>12773.54</v>
      </c>
      <c r="P29">
        <f>ROUND(CQ29*I29,2)</f>
        <v>0</v>
      </c>
      <c r="Q29">
        <f>ROUND(CR29*I29,2)</f>
        <v>5670.52</v>
      </c>
      <c r="R29">
        <f>ROUND(CS29*I29,2)</f>
        <v>2207.58</v>
      </c>
      <c r="S29">
        <f>ROUND(CT29*I29,2)</f>
        <v>7103.02</v>
      </c>
      <c r="T29">
        <f>ROUND(CU29*I29,2)</f>
        <v>0</v>
      </c>
      <c r="U29">
        <f>CV29*I29</f>
        <v>34.521599999999999</v>
      </c>
      <c r="V29">
        <f>CW29*I29</f>
        <v>8.7609600000000007</v>
      </c>
      <c r="W29">
        <f>ROUND(CX29*I29,2)</f>
        <v>0</v>
      </c>
      <c r="X29">
        <f t="shared" si="21"/>
        <v>11265.83</v>
      </c>
      <c r="Y29">
        <f t="shared" si="21"/>
        <v>7076.06</v>
      </c>
      <c r="AA29">
        <v>35026474</v>
      </c>
      <c r="AB29">
        <f>ROUND((AC29+AD29+AF29),2)</f>
        <v>5786.87</v>
      </c>
      <c r="AC29">
        <f>ROUND((ES29),2)</f>
        <v>0</v>
      </c>
      <c r="AD29">
        <f>ROUND((((ET29)-(EU29))+AE29),2)</f>
        <v>4292.7299999999996</v>
      </c>
      <c r="AE29">
        <f t="shared" si="22"/>
        <v>464.37</v>
      </c>
      <c r="AF29">
        <f t="shared" si="22"/>
        <v>1494.14</v>
      </c>
      <c r="AG29">
        <f>ROUND((AP29),2)</f>
        <v>0</v>
      </c>
      <c r="AH29">
        <f t="shared" si="23"/>
        <v>179.8</v>
      </c>
      <c r="AI29">
        <f t="shared" si="23"/>
        <v>45.63</v>
      </c>
      <c r="AJ29">
        <f>ROUND((AS29),2)</f>
        <v>0</v>
      </c>
      <c r="AK29">
        <v>5786.87</v>
      </c>
      <c r="AL29">
        <v>0</v>
      </c>
      <c r="AM29">
        <v>4292.7299999999996</v>
      </c>
      <c r="AN29">
        <v>464.37</v>
      </c>
      <c r="AO29">
        <v>1494.14</v>
      </c>
      <c r="AP29">
        <v>0</v>
      </c>
      <c r="AQ29">
        <v>179.8</v>
      </c>
      <c r="AR29">
        <v>45.63</v>
      </c>
      <c r="AS29">
        <v>0</v>
      </c>
      <c r="AT29">
        <v>121</v>
      </c>
      <c r="AU29">
        <v>76</v>
      </c>
      <c r="AV29">
        <v>1</v>
      </c>
      <c r="AW29">
        <v>1</v>
      </c>
      <c r="AZ29">
        <v>1</v>
      </c>
      <c r="BA29">
        <v>24.76</v>
      </c>
      <c r="BB29">
        <v>6.88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28</v>
      </c>
      <c r="BM29">
        <v>27001</v>
      </c>
      <c r="BN29">
        <v>0</v>
      </c>
      <c r="BO29" t="s">
        <v>25</v>
      </c>
      <c r="BP29">
        <v>1</v>
      </c>
      <c r="BQ29">
        <v>2</v>
      </c>
      <c r="BR29">
        <v>0</v>
      </c>
      <c r="BS29">
        <v>24.76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142</v>
      </c>
      <c r="CA29">
        <v>95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(P29+Q29+S29)</f>
        <v>12773.54</v>
      </c>
      <c r="CQ29">
        <f>AC29*BC29</f>
        <v>0</v>
      </c>
      <c r="CR29">
        <f>AD29*BB29</f>
        <v>29533.982399999997</v>
      </c>
      <c r="CS29">
        <f>AE29*BS29</f>
        <v>11497.801200000002</v>
      </c>
      <c r="CT29">
        <f>AF29*BA29</f>
        <v>36994.906400000007</v>
      </c>
      <c r="CU29">
        <f t="shared" si="24"/>
        <v>0</v>
      </c>
      <c r="CV29">
        <f t="shared" si="24"/>
        <v>179.8</v>
      </c>
      <c r="CW29">
        <f t="shared" si="24"/>
        <v>45.63</v>
      </c>
      <c r="CX29">
        <f t="shared" si="24"/>
        <v>0</v>
      </c>
      <c r="CY29">
        <f>(((S29+R29)*AT29)/100)</f>
        <v>11265.826000000001</v>
      </c>
      <c r="CZ29">
        <f>(((S29+R29)*AU29)/100)</f>
        <v>7076.0559999999996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27</v>
      </c>
      <c r="DW29" t="s">
        <v>27</v>
      </c>
      <c r="DX29">
        <v>100</v>
      </c>
      <c r="EE29">
        <v>33409533</v>
      </c>
      <c r="EF29">
        <v>2</v>
      </c>
      <c r="EG29" t="s">
        <v>19</v>
      </c>
      <c r="EH29">
        <v>0</v>
      </c>
      <c r="EI29" t="s">
        <v>3</v>
      </c>
      <c r="EJ29">
        <v>1</v>
      </c>
      <c r="EK29">
        <v>27001</v>
      </c>
      <c r="EL29" t="s">
        <v>20</v>
      </c>
      <c r="EM29" t="s">
        <v>21</v>
      </c>
      <c r="EO29" t="s">
        <v>3</v>
      </c>
      <c r="EQ29">
        <v>131072</v>
      </c>
      <c r="ER29">
        <v>5786.87</v>
      </c>
      <c r="ES29">
        <v>0</v>
      </c>
      <c r="ET29">
        <v>4292.7299999999996</v>
      </c>
      <c r="EU29">
        <v>464.37</v>
      </c>
      <c r="EV29">
        <v>1494.14</v>
      </c>
      <c r="EW29">
        <v>179.8</v>
      </c>
      <c r="EX29">
        <v>45.63</v>
      </c>
      <c r="EY29">
        <v>0</v>
      </c>
      <c r="FQ29">
        <v>0</v>
      </c>
      <c r="FR29">
        <f t="shared" si="25"/>
        <v>0</v>
      </c>
      <c r="FS29">
        <v>0</v>
      </c>
      <c r="FV29" t="s">
        <v>22</v>
      </c>
      <c r="FW29" t="s">
        <v>23</v>
      </c>
      <c r="FX29">
        <v>142</v>
      </c>
      <c r="FY29">
        <v>95</v>
      </c>
      <c r="GA29" t="s">
        <v>3</v>
      </c>
      <c r="GD29">
        <v>0</v>
      </c>
      <c r="GF29">
        <v>-1645584654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26"/>
        <v>0</v>
      </c>
      <c r="GM29">
        <f>ROUND(O29+X29+Y29+GK29,2)+GX29</f>
        <v>31115.43</v>
      </c>
      <c r="GN29">
        <f>IF(OR(BI29=0,BI29=1),ROUND(O29+X29+Y29+GK29,2),0)</f>
        <v>31115.43</v>
      </c>
      <c r="GO29">
        <f>IF(BI29=2,ROUND(O29+X29+Y29+GK29,2),0)</f>
        <v>0</v>
      </c>
      <c r="GP29">
        <f>IF(BI29=4,ROUND(O29+X29+Y29+GK29,2)+GX29,0)</f>
        <v>0</v>
      </c>
      <c r="GR29">
        <v>0</v>
      </c>
      <c r="GS29">
        <v>3</v>
      </c>
      <c r="GT29">
        <v>0</v>
      </c>
      <c r="GU29" t="s">
        <v>3</v>
      </c>
      <c r="GV29">
        <f>ROUND(GT29,2)</f>
        <v>0</v>
      </c>
      <c r="GW29">
        <v>1</v>
      </c>
      <c r="GX29">
        <f t="shared" si="27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ROW(SmtRes!A10)</f>
        <v>10</v>
      </c>
      <c r="D30">
        <f>ROW(EtalonRes!A10)</f>
        <v>10</v>
      </c>
      <c r="E30" t="s">
        <v>29</v>
      </c>
      <c r="F30" t="s">
        <v>30</v>
      </c>
      <c r="G30" t="s">
        <v>31</v>
      </c>
      <c r="H30" t="s">
        <v>27</v>
      </c>
      <c r="I30">
        <f>ROUND(23.04/100,9)</f>
        <v>0.23039999999999999</v>
      </c>
      <c r="J30">
        <v>0</v>
      </c>
      <c r="O30">
        <f>ROUND(CP30,2)</f>
        <v>5124.84</v>
      </c>
      <c r="P30">
        <f>ROUND(CQ30*I30,2)</f>
        <v>0</v>
      </c>
      <c r="Q30">
        <f>ROUND(CR30*I30,2)</f>
        <v>2569.8200000000002</v>
      </c>
      <c r="R30">
        <f>ROUND(CS30*I30,2)</f>
        <v>957.31</v>
      </c>
      <c r="S30">
        <f>ROUND(CT30*I30,2)</f>
        <v>2555.02</v>
      </c>
      <c r="T30">
        <f>ROUND(CU30*I30,2)</f>
        <v>0</v>
      </c>
      <c r="U30">
        <f>CV30*I30</f>
        <v>13.229568</v>
      </c>
      <c r="V30">
        <f>CW30*I30</f>
        <v>2.8638719999999998</v>
      </c>
      <c r="W30">
        <f>ROUND(CX30*I30,2)</f>
        <v>0</v>
      </c>
      <c r="X30">
        <f t="shared" si="21"/>
        <v>4249.92</v>
      </c>
      <c r="Y30">
        <f t="shared" si="21"/>
        <v>2669.37</v>
      </c>
      <c r="AA30">
        <v>35026474</v>
      </c>
      <c r="AB30">
        <f>ROUND((AC30+AD30+AF30),2)</f>
        <v>1766.29</v>
      </c>
      <c r="AC30">
        <f>ROUND((ES30),2)</f>
        <v>0</v>
      </c>
      <c r="AD30">
        <f>ROUND((((ET30)-(EU30))+AE30),2)</f>
        <v>1318.41</v>
      </c>
      <c r="AE30">
        <f t="shared" si="22"/>
        <v>167.81</v>
      </c>
      <c r="AF30">
        <f t="shared" si="22"/>
        <v>447.88</v>
      </c>
      <c r="AG30">
        <f>ROUND((AP30),2)</f>
        <v>0</v>
      </c>
      <c r="AH30">
        <f t="shared" si="23"/>
        <v>57.42</v>
      </c>
      <c r="AI30">
        <f t="shared" si="23"/>
        <v>12.43</v>
      </c>
      <c r="AJ30">
        <f>ROUND((AS30),2)</f>
        <v>0</v>
      </c>
      <c r="AK30">
        <v>1766.29</v>
      </c>
      <c r="AL30">
        <v>0</v>
      </c>
      <c r="AM30">
        <v>1318.41</v>
      </c>
      <c r="AN30">
        <v>167.81</v>
      </c>
      <c r="AO30">
        <v>447.88</v>
      </c>
      <c r="AP30">
        <v>0</v>
      </c>
      <c r="AQ30">
        <v>57.42</v>
      </c>
      <c r="AR30">
        <v>12.43</v>
      </c>
      <c r="AS30">
        <v>0</v>
      </c>
      <c r="AT30">
        <v>121</v>
      </c>
      <c r="AU30">
        <v>76</v>
      </c>
      <c r="AV30">
        <v>1</v>
      </c>
      <c r="AW30">
        <v>1</v>
      </c>
      <c r="AZ30">
        <v>1</v>
      </c>
      <c r="BA30">
        <v>24.76</v>
      </c>
      <c r="BB30">
        <v>8.4600000000000009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32</v>
      </c>
      <c r="BM30">
        <v>27001</v>
      </c>
      <c r="BN30">
        <v>0</v>
      </c>
      <c r="BO30" t="s">
        <v>30</v>
      </c>
      <c r="BP30">
        <v>1</v>
      </c>
      <c r="BQ30">
        <v>2</v>
      </c>
      <c r="BR30">
        <v>0</v>
      </c>
      <c r="BS30">
        <v>24.76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142</v>
      </c>
      <c r="CA30">
        <v>95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>(P30+Q30+S30)</f>
        <v>5124.84</v>
      </c>
      <c r="CQ30">
        <f>AC30*BC30</f>
        <v>0</v>
      </c>
      <c r="CR30">
        <f>AD30*BB30</f>
        <v>11153.748600000003</v>
      </c>
      <c r="CS30">
        <f>AE30*BS30</f>
        <v>4154.9756000000007</v>
      </c>
      <c r="CT30">
        <f>AF30*BA30</f>
        <v>11089.508800000001</v>
      </c>
      <c r="CU30">
        <f t="shared" si="24"/>
        <v>0</v>
      </c>
      <c r="CV30">
        <f t="shared" si="24"/>
        <v>57.42</v>
      </c>
      <c r="CW30">
        <f t="shared" si="24"/>
        <v>12.43</v>
      </c>
      <c r="CX30">
        <f t="shared" si="24"/>
        <v>0</v>
      </c>
      <c r="CY30">
        <f>(((S30+R30)*AT30)/100)</f>
        <v>4249.9192999999996</v>
      </c>
      <c r="CZ30">
        <f>(((S30+R30)*AU30)/100)</f>
        <v>2669.3708000000001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27</v>
      </c>
      <c r="DW30" t="s">
        <v>27</v>
      </c>
      <c r="DX30">
        <v>100</v>
      </c>
      <c r="EE30">
        <v>33409533</v>
      </c>
      <c r="EF30">
        <v>2</v>
      </c>
      <c r="EG30" t="s">
        <v>19</v>
      </c>
      <c r="EH30">
        <v>0</v>
      </c>
      <c r="EI30" t="s">
        <v>3</v>
      </c>
      <c r="EJ30">
        <v>1</v>
      </c>
      <c r="EK30">
        <v>27001</v>
      </c>
      <c r="EL30" t="s">
        <v>20</v>
      </c>
      <c r="EM30" t="s">
        <v>21</v>
      </c>
      <c r="EO30" t="s">
        <v>3</v>
      </c>
      <c r="EQ30">
        <v>131072</v>
      </c>
      <c r="ER30">
        <v>1766.29</v>
      </c>
      <c r="ES30">
        <v>0</v>
      </c>
      <c r="ET30">
        <v>1318.41</v>
      </c>
      <c r="EU30">
        <v>167.81</v>
      </c>
      <c r="EV30">
        <v>447.88</v>
      </c>
      <c r="EW30">
        <v>57.42</v>
      </c>
      <c r="EX30">
        <v>12.43</v>
      </c>
      <c r="EY30">
        <v>0</v>
      </c>
      <c r="FQ30">
        <v>0</v>
      </c>
      <c r="FR30">
        <f t="shared" si="25"/>
        <v>0</v>
      </c>
      <c r="FS30">
        <v>0</v>
      </c>
      <c r="FV30" t="s">
        <v>22</v>
      </c>
      <c r="FW30" t="s">
        <v>23</v>
      </c>
      <c r="FX30">
        <v>142</v>
      </c>
      <c r="FY30">
        <v>95</v>
      </c>
      <c r="GA30" t="s">
        <v>3</v>
      </c>
      <c r="GD30">
        <v>0</v>
      </c>
      <c r="GF30">
        <v>724648007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26"/>
        <v>0</v>
      </c>
      <c r="GM30">
        <f>ROUND(O30+X30+Y30+GK30,2)+GX30</f>
        <v>12044.13</v>
      </c>
      <c r="GN30">
        <f>IF(OR(BI30=0,BI30=1),ROUND(O30+X30+Y30+GK30,2),0)</f>
        <v>12044.13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>ROUND(GT30,2)</f>
        <v>0</v>
      </c>
      <c r="GW30">
        <v>1</v>
      </c>
      <c r="GX30">
        <f t="shared" si="27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33</v>
      </c>
      <c r="F31" t="s">
        <v>34</v>
      </c>
      <c r="G31" t="s">
        <v>35</v>
      </c>
      <c r="H31" t="s">
        <v>36</v>
      </c>
      <c r="I31">
        <v>107.14</v>
      </c>
      <c r="J31">
        <v>0</v>
      </c>
      <c r="O31">
        <f>0</f>
        <v>0</v>
      </c>
      <c r="P31">
        <f>0</f>
        <v>0</v>
      </c>
      <c r="Q31">
        <f>0</f>
        <v>0</v>
      </c>
      <c r="R31">
        <f>0</f>
        <v>0</v>
      </c>
      <c r="S31">
        <f>0</f>
        <v>0</v>
      </c>
      <c r="T31">
        <f>0</f>
        <v>0</v>
      </c>
      <c r="U31">
        <f>0</f>
        <v>0</v>
      </c>
      <c r="V31">
        <f>0</f>
        <v>0</v>
      </c>
      <c r="W31">
        <f>0</f>
        <v>0</v>
      </c>
      <c r="X31">
        <f>0</f>
        <v>0</v>
      </c>
      <c r="Y31">
        <f>0</f>
        <v>0</v>
      </c>
      <c r="AA31">
        <v>35026474</v>
      </c>
      <c r="AB31">
        <f>ROUND((AK31),2)</f>
        <v>3.28</v>
      </c>
      <c r="AC31">
        <f>0</f>
        <v>0</v>
      </c>
      <c r="AD31">
        <f>0</f>
        <v>0</v>
      </c>
      <c r="AE31">
        <f>0</f>
        <v>0</v>
      </c>
      <c r="AF31">
        <f>0</f>
        <v>0</v>
      </c>
      <c r="AG31">
        <f>0</f>
        <v>0</v>
      </c>
      <c r="AH31">
        <f>0</f>
        <v>0</v>
      </c>
      <c r="AI31">
        <f>0</f>
        <v>0</v>
      </c>
      <c r="AJ31">
        <f>0</f>
        <v>0</v>
      </c>
      <c r="AK31">
        <v>3.28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9.64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37</v>
      </c>
      <c r="BM31">
        <v>700004</v>
      </c>
      <c r="BN31">
        <v>0</v>
      </c>
      <c r="BO31" t="s">
        <v>34</v>
      </c>
      <c r="BP31">
        <v>1</v>
      </c>
      <c r="BQ31">
        <v>19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AB31*AZ31</f>
        <v>31.619199999999999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36</v>
      </c>
      <c r="DW31" t="s">
        <v>36</v>
      </c>
      <c r="DX31">
        <v>1</v>
      </c>
      <c r="EE31">
        <v>33409680</v>
      </c>
      <c r="EF31">
        <v>19</v>
      </c>
      <c r="EG31" t="s">
        <v>38</v>
      </c>
      <c r="EH31">
        <v>0</v>
      </c>
      <c r="EI31" t="s">
        <v>3</v>
      </c>
      <c r="EJ31">
        <v>1</v>
      </c>
      <c r="EK31">
        <v>700004</v>
      </c>
      <c r="EL31" t="s">
        <v>39</v>
      </c>
      <c r="EM31" t="s">
        <v>40</v>
      </c>
      <c r="EO31" t="s">
        <v>3</v>
      </c>
      <c r="EQ31">
        <v>131072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25"/>
        <v>0</v>
      </c>
      <c r="FS31">
        <v>0</v>
      </c>
      <c r="FX31">
        <v>0</v>
      </c>
      <c r="FY31">
        <v>0</v>
      </c>
      <c r="GA31" t="s">
        <v>3</v>
      </c>
      <c r="GD31">
        <v>0</v>
      </c>
      <c r="GF31">
        <v>-1511821300</v>
      </c>
      <c r="GG31">
        <v>2</v>
      </c>
      <c r="GH31">
        <v>1</v>
      </c>
      <c r="GI31">
        <v>2</v>
      </c>
      <c r="GJ31">
        <v>2</v>
      </c>
      <c r="GK31">
        <f>ROUND(R31*(R12)/100,2)</f>
        <v>0</v>
      </c>
      <c r="GL31">
        <f t="shared" si="26"/>
        <v>0</v>
      </c>
      <c r="GM31">
        <f>ROUND(CP31*I31,2)</f>
        <v>3387.68</v>
      </c>
      <c r="GN31">
        <f>IF(OR(BI31=0,BI31=1),ROUND(CP31*I31,2),0)</f>
        <v>3387.68</v>
      </c>
      <c r="GO31">
        <f>IF(BI31=2,ROUND(CP31*I31,2),0)</f>
        <v>0</v>
      </c>
      <c r="GP31">
        <f>IF(BI31=4,ROUND(CP31*I31,2)+GX31,0)</f>
        <v>0</v>
      </c>
      <c r="GR31">
        <v>0</v>
      </c>
      <c r="GS31">
        <v>3</v>
      </c>
      <c r="GU31" t="s">
        <v>3</v>
      </c>
      <c r="GV31">
        <f>0</f>
        <v>0</v>
      </c>
      <c r="GW31">
        <v>1</v>
      </c>
      <c r="GX31">
        <f t="shared" si="27"/>
        <v>0</v>
      </c>
      <c r="GY31">
        <v>0</v>
      </c>
      <c r="GZ31"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E32" t="s">
        <v>41</v>
      </c>
      <c r="F32" t="s">
        <v>42</v>
      </c>
      <c r="G32" t="s">
        <v>43</v>
      </c>
      <c r="H32" t="s">
        <v>36</v>
      </c>
      <c r="I32">
        <v>107.14</v>
      </c>
      <c r="J32">
        <v>0</v>
      </c>
      <c r="O32">
        <f>0</f>
        <v>0</v>
      </c>
      <c r="P32">
        <f>0</f>
        <v>0</v>
      </c>
      <c r="Q32">
        <f>0</f>
        <v>0</v>
      </c>
      <c r="R32">
        <f>0</f>
        <v>0</v>
      </c>
      <c r="S32">
        <f>0</f>
        <v>0</v>
      </c>
      <c r="T32">
        <f>0</f>
        <v>0</v>
      </c>
      <c r="U32">
        <f>0</f>
        <v>0</v>
      </c>
      <c r="V32">
        <f>0</f>
        <v>0</v>
      </c>
      <c r="W32">
        <f>0</f>
        <v>0</v>
      </c>
      <c r="X32">
        <f>0</f>
        <v>0</v>
      </c>
      <c r="Y32">
        <f>0</f>
        <v>0</v>
      </c>
      <c r="AA32">
        <v>35026474</v>
      </c>
      <c r="AB32">
        <f>ROUND((AK32),2)</f>
        <v>29.92</v>
      </c>
      <c r="AC32">
        <f>0</f>
        <v>0</v>
      </c>
      <c r="AD32">
        <f>0</f>
        <v>0</v>
      </c>
      <c r="AE32">
        <f>0</f>
        <v>0</v>
      </c>
      <c r="AF32">
        <f>0</f>
        <v>0</v>
      </c>
      <c r="AG32">
        <f>0</f>
        <v>0</v>
      </c>
      <c r="AH32">
        <f>0</f>
        <v>0</v>
      </c>
      <c r="AI32">
        <f>0</f>
        <v>0</v>
      </c>
      <c r="AJ32">
        <f>0</f>
        <v>0</v>
      </c>
      <c r="AK32">
        <v>29.92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7.48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44</v>
      </c>
      <c r="BM32">
        <v>700005</v>
      </c>
      <c r="BN32">
        <v>0</v>
      </c>
      <c r="BO32" t="s">
        <v>42</v>
      </c>
      <c r="BP32">
        <v>1</v>
      </c>
      <c r="BQ32">
        <v>10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>AB32*AZ32</f>
        <v>223.80160000000004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36</v>
      </c>
      <c r="DW32" t="s">
        <v>36</v>
      </c>
      <c r="DX32">
        <v>1</v>
      </c>
      <c r="EE32">
        <v>33409684</v>
      </c>
      <c r="EF32">
        <v>10</v>
      </c>
      <c r="EG32" t="s">
        <v>45</v>
      </c>
      <c r="EH32">
        <v>0</v>
      </c>
      <c r="EI32" t="s">
        <v>3</v>
      </c>
      <c r="EJ32">
        <v>1</v>
      </c>
      <c r="EK32">
        <v>700005</v>
      </c>
      <c r="EL32" t="s">
        <v>46</v>
      </c>
      <c r="EM32" t="s">
        <v>47</v>
      </c>
      <c r="EO32" t="s">
        <v>3</v>
      </c>
      <c r="EQ32">
        <v>131072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 t="shared" si="25"/>
        <v>0</v>
      </c>
      <c r="FS32">
        <v>0</v>
      </c>
      <c r="FX32">
        <v>0</v>
      </c>
      <c r="FY32">
        <v>0</v>
      </c>
      <c r="GA32" t="s">
        <v>3</v>
      </c>
      <c r="GD32">
        <v>0</v>
      </c>
      <c r="GF32">
        <v>833515714</v>
      </c>
      <c r="GG32">
        <v>2</v>
      </c>
      <c r="GH32">
        <v>1</v>
      </c>
      <c r="GI32">
        <v>2</v>
      </c>
      <c r="GJ32">
        <v>2</v>
      </c>
      <c r="GK32">
        <f>ROUND(R32*(R12)/100,2)</f>
        <v>0</v>
      </c>
      <c r="GL32">
        <f t="shared" si="26"/>
        <v>0</v>
      </c>
      <c r="GM32">
        <f>ROUND(CP32*I32,2)</f>
        <v>23978.1</v>
      </c>
      <c r="GN32">
        <f>IF(OR(BI32=0,BI32=1),ROUND(CP32*I32,2),0)</f>
        <v>23978.1</v>
      </c>
      <c r="GO32">
        <f>IF(BI32=2,ROUND(CP32*I32,2),0)</f>
        <v>0</v>
      </c>
      <c r="GP32">
        <f>IF(BI32=4,ROUND(CP32*I32,2)+GX32,0)</f>
        <v>0</v>
      </c>
      <c r="GR32">
        <v>0</v>
      </c>
      <c r="GS32">
        <v>3</v>
      </c>
      <c r="GU32" t="s">
        <v>3</v>
      </c>
      <c r="GV32">
        <f>0</f>
        <v>0</v>
      </c>
      <c r="GW32">
        <v>1</v>
      </c>
      <c r="GX32">
        <f t="shared" si="27"/>
        <v>0</v>
      </c>
      <c r="GY32">
        <v>0</v>
      </c>
      <c r="GZ32"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E33" t="s">
        <v>48</v>
      </c>
      <c r="F33" t="s">
        <v>49</v>
      </c>
      <c r="G33" t="s">
        <v>298</v>
      </c>
      <c r="H33" t="s">
        <v>50</v>
      </c>
      <c r="I33">
        <v>36.479999999999997</v>
      </c>
      <c r="J33">
        <v>0</v>
      </c>
      <c r="O33">
        <f>ROUND(CP33,2)</f>
        <v>4533.57</v>
      </c>
      <c r="P33">
        <f>ROUND(CQ33*I33,2)</f>
        <v>4533.57</v>
      </c>
      <c r="Q33">
        <f>ROUND(CR33*I33,2)</f>
        <v>0</v>
      </c>
      <c r="R33">
        <f>ROUND(CS33*I33,2)</f>
        <v>0</v>
      </c>
      <c r="S33">
        <f>ROUND(CT33*I33,2)</f>
        <v>0</v>
      </c>
      <c r="T33">
        <f>ROUND(CU33*I33,2)</f>
        <v>0</v>
      </c>
      <c r="U33">
        <f>CV33*I33</f>
        <v>0</v>
      </c>
      <c r="V33">
        <f>CW33*I33</f>
        <v>0</v>
      </c>
      <c r="W33">
        <f>ROUND(CX33*I33,2)</f>
        <v>0</v>
      </c>
      <c r="X33">
        <f>ROUND(CY33,2)</f>
        <v>0</v>
      </c>
      <c r="Y33">
        <f>ROUND(CZ33,2)</f>
        <v>0</v>
      </c>
      <c r="AA33">
        <v>35026474</v>
      </c>
      <c r="AB33">
        <f>ROUND((AC33+AD33+AF33),2)</f>
        <v>12.44</v>
      </c>
      <c r="AC33">
        <f>ROUND((ES33),2)</f>
        <v>12.44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>ROUND((AP33),2)</f>
        <v>0</v>
      </c>
      <c r="AH33">
        <f>(EW33)</f>
        <v>0</v>
      </c>
      <c r="AI33">
        <f>(EX33)</f>
        <v>0</v>
      </c>
      <c r="AJ33">
        <f>ROUND((AS33),2)</f>
        <v>0</v>
      </c>
      <c r="AK33">
        <v>12.44</v>
      </c>
      <c r="AL33">
        <v>12.44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9.99</v>
      </c>
      <c r="BB33">
        <v>9.99</v>
      </c>
      <c r="BC33">
        <v>9.99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4</v>
      </c>
      <c r="BJ33" t="s">
        <v>3</v>
      </c>
      <c r="BM33">
        <v>0</v>
      </c>
      <c r="BN33">
        <v>0</v>
      </c>
      <c r="BO33" t="s">
        <v>3</v>
      </c>
      <c r="BP33">
        <v>0</v>
      </c>
      <c r="BQ33">
        <v>16</v>
      </c>
      <c r="BR33">
        <v>0</v>
      </c>
      <c r="BS33">
        <v>9.99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(P33+Q33+S33)</f>
        <v>4533.57</v>
      </c>
      <c r="CQ33">
        <f>AC33*BC33</f>
        <v>124.2756</v>
      </c>
      <c r="CR33">
        <f>AD33*BB33</f>
        <v>0</v>
      </c>
      <c r="CS33">
        <f>AE33*BS33</f>
        <v>0</v>
      </c>
      <c r="CT33">
        <f>AF33*BA33</f>
        <v>0</v>
      </c>
      <c r="CU33">
        <f t="shared" ref="CU33:CX34" si="28">AG33</f>
        <v>0</v>
      </c>
      <c r="CV33">
        <f t="shared" si="28"/>
        <v>0</v>
      </c>
      <c r="CW33">
        <f t="shared" si="28"/>
        <v>0</v>
      </c>
      <c r="CX33">
        <f t="shared" si="28"/>
        <v>0</v>
      </c>
      <c r="CY33">
        <f>(((S33+R33)*AT33)/100)</f>
        <v>0</v>
      </c>
      <c r="CZ33">
        <f>(((S33+R33)*AU33)/100)</f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50</v>
      </c>
      <c r="DW33" t="s">
        <v>50</v>
      </c>
      <c r="DX33">
        <v>1000</v>
      </c>
      <c r="EE33">
        <v>33409433</v>
      </c>
      <c r="EF33">
        <v>16</v>
      </c>
      <c r="EG33" t="s">
        <v>51</v>
      </c>
      <c r="EH33">
        <v>0</v>
      </c>
      <c r="EI33" t="s">
        <v>3</v>
      </c>
      <c r="EJ33">
        <v>4</v>
      </c>
      <c r="EK33">
        <v>0</v>
      </c>
      <c r="EL33" t="s">
        <v>52</v>
      </c>
      <c r="EM33" t="s">
        <v>53</v>
      </c>
      <c r="EO33" t="s">
        <v>3</v>
      </c>
      <c r="EQ33">
        <v>131072</v>
      </c>
      <c r="ER33">
        <v>12.44</v>
      </c>
      <c r="ES33">
        <v>12.44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5</v>
      </c>
      <c r="FC33">
        <v>0</v>
      </c>
      <c r="FD33">
        <v>18</v>
      </c>
      <c r="FF33">
        <v>110</v>
      </c>
      <c r="FQ33">
        <v>0</v>
      </c>
      <c r="FR33">
        <f t="shared" si="25"/>
        <v>0</v>
      </c>
      <c r="FS33">
        <v>0</v>
      </c>
      <c r="FV33" t="s">
        <v>22</v>
      </c>
      <c r="FW33" t="s">
        <v>23</v>
      </c>
      <c r="FX33">
        <v>0</v>
      </c>
      <c r="FY33">
        <v>0</v>
      </c>
      <c r="GA33" t="s">
        <v>54</v>
      </c>
      <c r="GD33">
        <v>0</v>
      </c>
      <c r="GF33">
        <v>-633811913</v>
      </c>
      <c r="GG33">
        <v>2</v>
      </c>
      <c r="GH33">
        <v>3</v>
      </c>
      <c r="GI33">
        <v>3</v>
      </c>
      <c r="GJ33">
        <v>0</v>
      </c>
      <c r="GK33">
        <f>ROUND(R33*(R12)/100,2)</f>
        <v>0</v>
      </c>
      <c r="GL33">
        <f t="shared" si="26"/>
        <v>0</v>
      </c>
      <c r="GM33">
        <f>ROUND(O33+X33+Y33+GK33,2)+GX33</f>
        <v>4533.57</v>
      </c>
      <c r="GN33">
        <f>IF(OR(BI33=0,BI33=1),ROUND(O33+X33+Y33+GK33,2),0)</f>
        <v>0</v>
      </c>
      <c r="GO33">
        <f>IF(BI33=2,ROUND(O33+X33+Y33+GK33,2),0)</f>
        <v>0</v>
      </c>
      <c r="GP33">
        <f>IF(BI33=4,ROUND(O33+X33+Y33+GK33,2)+GX33,0)</f>
        <v>4533.57</v>
      </c>
      <c r="GR33">
        <v>1</v>
      </c>
      <c r="GS33">
        <v>1</v>
      </c>
      <c r="GT33">
        <v>0</v>
      </c>
      <c r="GU33" t="s">
        <v>3</v>
      </c>
      <c r="GV33">
        <f>ROUND(GT33,2)</f>
        <v>0</v>
      </c>
      <c r="GW33">
        <v>1</v>
      </c>
      <c r="GX33">
        <f t="shared" si="27"/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E34" t="s">
        <v>55</v>
      </c>
      <c r="F34" t="s">
        <v>49</v>
      </c>
      <c r="G34" t="s">
        <v>299</v>
      </c>
      <c r="H34" t="s">
        <v>50</v>
      </c>
      <c r="I34">
        <f>ROUND(70.66,2)</f>
        <v>70.66</v>
      </c>
      <c r="J34">
        <v>0</v>
      </c>
      <c r="O34">
        <f>ROUND(CP34,2)</f>
        <v>15967.31</v>
      </c>
      <c r="P34">
        <f>ROUND(CQ34*I34,2)</f>
        <v>15967.31</v>
      </c>
      <c r="Q34">
        <f>ROUND(CR34*I34,2)</f>
        <v>0</v>
      </c>
      <c r="R34">
        <f>ROUND(CS34*I34,2)</f>
        <v>0</v>
      </c>
      <c r="S34">
        <f>ROUND(CT34*I34,2)</f>
        <v>0</v>
      </c>
      <c r="T34">
        <f>ROUND(CU34*I34,2)</f>
        <v>0</v>
      </c>
      <c r="U34">
        <f>CV34*I34</f>
        <v>0</v>
      </c>
      <c r="V34">
        <f>CW34*I34</f>
        <v>0</v>
      </c>
      <c r="W34">
        <f>ROUND(CX34*I34,2)</f>
        <v>0</v>
      </c>
      <c r="X34">
        <f>ROUND(CY34,2)</f>
        <v>0</v>
      </c>
      <c r="Y34">
        <f>ROUND(CZ34,2)</f>
        <v>0</v>
      </c>
      <c r="AA34">
        <v>35026474</v>
      </c>
      <c r="AB34">
        <f>ROUND((AC34+AD34+AF34),2)</f>
        <v>22.62</v>
      </c>
      <c r="AC34">
        <f>ROUND((ES34),2)</f>
        <v>22.62</v>
      </c>
      <c r="AD34">
        <f>ROUND((((ET34)-(EU34))+AE34),2)</f>
        <v>0</v>
      </c>
      <c r="AE34">
        <f>ROUND((EU34),2)</f>
        <v>0</v>
      </c>
      <c r="AF34">
        <f>ROUND((EV34),2)</f>
        <v>0</v>
      </c>
      <c r="AG34">
        <f>ROUND((AP34),2)</f>
        <v>0</v>
      </c>
      <c r="AH34">
        <f>(EW34)</f>
        <v>0</v>
      </c>
      <c r="AI34">
        <f>(EX34)</f>
        <v>0</v>
      </c>
      <c r="AJ34">
        <f>ROUND((AS34),2)</f>
        <v>0</v>
      </c>
      <c r="AK34">
        <v>22.62</v>
      </c>
      <c r="AL34">
        <v>22.62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9.99</v>
      </c>
      <c r="BB34">
        <v>9.99</v>
      </c>
      <c r="BC34">
        <v>9.99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4</v>
      </c>
      <c r="BJ34" t="s">
        <v>3</v>
      </c>
      <c r="BM34">
        <v>0</v>
      </c>
      <c r="BN34">
        <v>0</v>
      </c>
      <c r="BO34" t="s">
        <v>3</v>
      </c>
      <c r="BP34">
        <v>0</v>
      </c>
      <c r="BQ34">
        <v>16</v>
      </c>
      <c r="BR34">
        <v>0</v>
      </c>
      <c r="BS34">
        <v>9.99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0</v>
      </c>
      <c r="CA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>(P34+Q34+S34)</f>
        <v>15967.31</v>
      </c>
      <c r="CQ34">
        <f>AC34*BC34</f>
        <v>225.97380000000001</v>
      </c>
      <c r="CR34">
        <f>AD34*BB34</f>
        <v>0</v>
      </c>
      <c r="CS34">
        <f>AE34*BS34</f>
        <v>0</v>
      </c>
      <c r="CT34">
        <f>AF34*BA34</f>
        <v>0</v>
      </c>
      <c r="CU34">
        <f t="shared" si="28"/>
        <v>0</v>
      </c>
      <c r="CV34">
        <f t="shared" si="28"/>
        <v>0</v>
      </c>
      <c r="CW34">
        <f t="shared" si="28"/>
        <v>0</v>
      </c>
      <c r="CX34">
        <f t="shared" si="28"/>
        <v>0</v>
      </c>
      <c r="CY34">
        <f>(((S34+R34)*AT34)/100)</f>
        <v>0</v>
      </c>
      <c r="CZ34">
        <f>(((S34+R34)*AU34)/100)</f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50</v>
      </c>
      <c r="DW34" t="s">
        <v>50</v>
      </c>
      <c r="DX34">
        <v>1000</v>
      </c>
      <c r="EE34">
        <v>33409433</v>
      </c>
      <c r="EF34">
        <v>16</v>
      </c>
      <c r="EG34" t="s">
        <v>51</v>
      </c>
      <c r="EH34">
        <v>0</v>
      </c>
      <c r="EI34" t="s">
        <v>3</v>
      </c>
      <c r="EJ34">
        <v>4</v>
      </c>
      <c r="EK34">
        <v>0</v>
      </c>
      <c r="EL34" t="s">
        <v>52</v>
      </c>
      <c r="EM34" t="s">
        <v>53</v>
      </c>
      <c r="EO34" t="s">
        <v>3</v>
      </c>
      <c r="EQ34">
        <v>131072</v>
      </c>
      <c r="ER34">
        <v>22.62</v>
      </c>
      <c r="ES34">
        <v>22.62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5</v>
      </c>
      <c r="FC34">
        <v>0</v>
      </c>
      <c r="FD34">
        <v>18</v>
      </c>
      <c r="FF34">
        <v>200</v>
      </c>
      <c r="FQ34">
        <v>0</v>
      </c>
      <c r="FR34">
        <f t="shared" si="25"/>
        <v>0</v>
      </c>
      <c r="FS34">
        <v>0</v>
      </c>
      <c r="FV34" t="s">
        <v>22</v>
      </c>
      <c r="FW34" t="s">
        <v>23</v>
      </c>
      <c r="FX34">
        <v>0</v>
      </c>
      <c r="FY34">
        <v>0</v>
      </c>
      <c r="GA34" t="s">
        <v>56</v>
      </c>
      <c r="GD34">
        <v>0</v>
      </c>
      <c r="GF34">
        <v>541928798</v>
      </c>
      <c r="GG34">
        <v>2</v>
      </c>
      <c r="GH34">
        <v>3</v>
      </c>
      <c r="GI34">
        <v>3</v>
      </c>
      <c r="GJ34">
        <v>0</v>
      </c>
      <c r="GK34">
        <f>ROUND(R34*(R12)/100,2)</f>
        <v>0</v>
      </c>
      <c r="GL34">
        <f t="shared" si="26"/>
        <v>0</v>
      </c>
      <c r="GM34">
        <f>ROUND(O34+X34+Y34+GK34,2)+GX34</f>
        <v>15967.31</v>
      </c>
      <c r="GN34">
        <f>IF(OR(BI34=0,BI34=1),ROUND(O34+X34+Y34+GK34,2),0)</f>
        <v>0</v>
      </c>
      <c r="GO34">
        <f>IF(BI34=2,ROUND(O34+X34+Y34+GK34,2),0)</f>
        <v>0</v>
      </c>
      <c r="GP34">
        <f>IF(BI34=4,ROUND(O34+X34+Y34+GK34,2)+GX34,0)</f>
        <v>15967.31</v>
      </c>
      <c r="GR34">
        <v>1</v>
      </c>
      <c r="GS34">
        <v>1</v>
      </c>
      <c r="GT34">
        <v>0</v>
      </c>
      <c r="GU34" t="s">
        <v>3</v>
      </c>
      <c r="GV34">
        <f>ROUND(GT34,2)</f>
        <v>0</v>
      </c>
      <c r="GW34">
        <v>1</v>
      </c>
      <c r="GX34">
        <f t="shared" si="27"/>
        <v>0</v>
      </c>
      <c r="HA34">
        <v>0</v>
      </c>
      <c r="HB34">
        <v>0</v>
      </c>
      <c r="IK34">
        <v>0</v>
      </c>
    </row>
    <row r="36" spans="1:245" x14ac:dyDescent="0.2">
      <c r="A36" s="2">
        <v>51</v>
      </c>
      <c r="B36" s="2">
        <f>B24</f>
        <v>1</v>
      </c>
      <c r="C36" s="2">
        <f>A24</f>
        <v>4</v>
      </c>
      <c r="D36" s="2">
        <f>ROW(A24)</f>
        <v>24</v>
      </c>
      <c r="E36" s="2"/>
      <c r="F36" s="2" t="str">
        <f>IF(F24&lt;&gt;"",F24,"")</f>
        <v>Новый раздел</v>
      </c>
      <c r="G36" s="2" t="str">
        <f>IF(G24&lt;&gt;"",G24,"")</f>
        <v>Демонтажные работы</v>
      </c>
      <c r="H36" s="2">
        <v>0</v>
      </c>
      <c r="I36" s="2"/>
      <c r="J36" s="2"/>
      <c r="K36" s="2"/>
      <c r="L36" s="2"/>
      <c r="M36" s="2"/>
      <c r="N36" s="2"/>
      <c r="O36" s="2">
        <f t="shared" ref="O36:T36" si="29">ROUND(AB36,2)</f>
        <v>96884.84</v>
      </c>
      <c r="P36" s="2">
        <f t="shared" si="29"/>
        <v>20500.88</v>
      </c>
      <c r="Q36" s="2">
        <f t="shared" si="29"/>
        <v>8240.34</v>
      </c>
      <c r="R36" s="2">
        <f t="shared" si="29"/>
        <v>3164.89</v>
      </c>
      <c r="S36" s="2">
        <f t="shared" si="29"/>
        <v>68143.62</v>
      </c>
      <c r="T36" s="2">
        <f t="shared" si="29"/>
        <v>0</v>
      </c>
      <c r="U36" s="2">
        <f>AH36</f>
        <v>342.27916800000003</v>
      </c>
      <c r="V36" s="2">
        <f>AI36</f>
        <v>11.624832000000001</v>
      </c>
      <c r="W36" s="2">
        <f>ROUND(AJ36,2)</f>
        <v>0</v>
      </c>
      <c r="X36" s="2">
        <f>ROUND(AK36,2)</f>
        <v>86283.3</v>
      </c>
      <c r="Y36" s="2">
        <f>ROUND(AL36,2)</f>
        <v>54194.47</v>
      </c>
      <c r="Z36" s="2"/>
      <c r="AA36" s="2"/>
      <c r="AB36" s="2">
        <f>ROUND(SUMIF(AA28:AA34,"=35026474",O28:O34),2)</f>
        <v>96884.84</v>
      </c>
      <c r="AC36" s="2">
        <f>ROUND(SUMIF(AA28:AA34,"=35026474",P28:P34),2)</f>
        <v>20500.88</v>
      </c>
      <c r="AD36" s="2">
        <f>ROUND(SUMIF(AA28:AA34,"=35026474",Q28:Q34),2)</f>
        <v>8240.34</v>
      </c>
      <c r="AE36" s="2">
        <f>ROUND(SUMIF(AA28:AA34,"=35026474",R28:R34),2)</f>
        <v>3164.89</v>
      </c>
      <c r="AF36" s="2">
        <f>ROUND(SUMIF(AA28:AA34,"=35026474",S28:S34),2)</f>
        <v>68143.62</v>
      </c>
      <c r="AG36" s="2">
        <f>ROUND(SUMIF(AA28:AA34,"=35026474",T28:T34),2)</f>
        <v>0</v>
      </c>
      <c r="AH36" s="2">
        <f>SUMIF(AA28:AA34,"=35026474",U28:U34)</f>
        <v>342.27916800000003</v>
      </c>
      <c r="AI36" s="2">
        <f>SUMIF(AA28:AA34,"=35026474",V28:V34)</f>
        <v>11.624832000000001</v>
      </c>
      <c r="AJ36" s="2">
        <f>ROUND(SUMIF(AA28:AA34,"=35026474",W28:W34),2)</f>
        <v>0</v>
      </c>
      <c r="AK36" s="2">
        <f>ROUND(SUMIF(AA28:AA34,"=35026474",X28:X34),2)</f>
        <v>86283.3</v>
      </c>
      <c r="AL36" s="2">
        <f>ROUND(SUMIF(AA28:AA34,"=35026474",Y28:Y34),2)</f>
        <v>54194.47</v>
      </c>
      <c r="AM36" s="2"/>
      <c r="AN36" s="2"/>
      <c r="AO36" s="2">
        <f t="shared" ref="AO36:BC36" si="30">ROUND(BX36,2)</f>
        <v>0</v>
      </c>
      <c r="AP36" s="2">
        <f t="shared" si="30"/>
        <v>0</v>
      </c>
      <c r="AQ36" s="2">
        <f t="shared" si="30"/>
        <v>0</v>
      </c>
      <c r="AR36" s="2">
        <f t="shared" si="30"/>
        <v>264728.39</v>
      </c>
      <c r="AS36" s="2">
        <f t="shared" si="30"/>
        <v>244227.51</v>
      </c>
      <c r="AT36" s="2">
        <f t="shared" si="30"/>
        <v>0</v>
      </c>
      <c r="AU36" s="2">
        <f t="shared" si="30"/>
        <v>20500.88</v>
      </c>
      <c r="AV36" s="2">
        <f t="shared" si="30"/>
        <v>20500.88</v>
      </c>
      <c r="AW36" s="2">
        <f t="shared" si="30"/>
        <v>20500.88</v>
      </c>
      <c r="AX36" s="2">
        <f t="shared" si="30"/>
        <v>0</v>
      </c>
      <c r="AY36" s="2">
        <f t="shared" si="30"/>
        <v>20500.88</v>
      </c>
      <c r="AZ36" s="2">
        <f t="shared" si="30"/>
        <v>0</v>
      </c>
      <c r="BA36" s="2">
        <f t="shared" si="30"/>
        <v>0</v>
      </c>
      <c r="BB36" s="2">
        <f t="shared" si="30"/>
        <v>0</v>
      </c>
      <c r="BC36" s="2">
        <f t="shared" si="30"/>
        <v>0</v>
      </c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>
        <f>ROUND(SUMIF(AA28:AA34,"=35026474",FQ28:FQ34),2)</f>
        <v>0</v>
      </c>
      <c r="BY36" s="2">
        <f>ROUND(SUMIF(AA28:AA34,"=35026474",FR28:FR34),2)</f>
        <v>0</v>
      </c>
      <c r="BZ36" s="2">
        <f>ROUND(SUMIF(AA28:AA34,"=35026474",GL28:GL34),2)</f>
        <v>0</v>
      </c>
      <c r="CA36" s="2">
        <f>ROUND(SUMIF(AA28:AA34,"=35026474",GM28:GM34),2)</f>
        <v>264728.39</v>
      </c>
      <c r="CB36" s="2">
        <f>ROUND(SUMIF(AA28:AA34,"=35026474",GN28:GN34),2)</f>
        <v>244227.51</v>
      </c>
      <c r="CC36" s="2">
        <f>ROUND(SUMIF(AA28:AA34,"=35026474",GO28:GO34),2)</f>
        <v>0</v>
      </c>
      <c r="CD36" s="2">
        <f>ROUND(SUMIF(AA28:AA34,"=35026474",GP28:GP34),2)</f>
        <v>20500.88</v>
      </c>
      <c r="CE36" s="2">
        <f>AC36-BX36</f>
        <v>20500.88</v>
      </c>
      <c r="CF36" s="2">
        <f>AC36-BY36</f>
        <v>20500.88</v>
      </c>
      <c r="CG36" s="2">
        <f>BX36-BZ36</f>
        <v>0</v>
      </c>
      <c r="CH36" s="2">
        <f>AC36-BX36-BY36+BZ36</f>
        <v>20500.88</v>
      </c>
      <c r="CI36" s="2">
        <f>BY36-BZ36</f>
        <v>0</v>
      </c>
      <c r="CJ36" s="2">
        <f>ROUND(SUMIF(AA28:AA34,"=35026474",GX28:GX34),2)</f>
        <v>0</v>
      </c>
      <c r="CK36" s="2">
        <f>ROUND(SUMIF(AA28:AA34,"=35026474",GY28:GY34),2)</f>
        <v>0</v>
      </c>
      <c r="CL36" s="2">
        <f>ROUND(SUMIF(AA28:AA34,"=35026474",GZ28:GZ34),2)</f>
        <v>0</v>
      </c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>
        <v>0</v>
      </c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201</v>
      </c>
      <c r="F38" s="4">
        <f>ROUND(Source!O36,O38)</f>
        <v>96884.84</v>
      </c>
      <c r="G38" s="4" t="s">
        <v>57</v>
      </c>
      <c r="H38" s="4" t="s">
        <v>58</v>
      </c>
      <c r="I38" s="4"/>
      <c r="J38" s="4"/>
      <c r="K38" s="4">
        <v>201</v>
      </c>
      <c r="L38" s="4">
        <v>1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202</v>
      </c>
      <c r="F39" s="4">
        <f>ROUND(Source!P36,O39)</f>
        <v>20500.88</v>
      </c>
      <c r="G39" s="4" t="s">
        <v>59</v>
      </c>
      <c r="H39" s="4" t="s">
        <v>60</v>
      </c>
      <c r="I39" s="4"/>
      <c r="J39" s="4"/>
      <c r="K39" s="4">
        <v>202</v>
      </c>
      <c r="L39" s="4">
        <v>2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222</v>
      </c>
      <c r="F40" s="4">
        <f>ROUND(Source!AO36,O40)</f>
        <v>0</v>
      </c>
      <c r="G40" s="4" t="s">
        <v>61</v>
      </c>
      <c r="H40" s="4" t="s">
        <v>62</v>
      </c>
      <c r="I40" s="4"/>
      <c r="J40" s="4"/>
      <c r="K40" s="4">
        <v>222</v>
      </c>
      <c r="L40" s="4">
        <v>3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225</v>
      </c>
      <c r="F41" s="4">
        <f>ROUND(Source!AV36,O41)</f>
        <v>20500.88</v>
      </c>
      <c r="G41" s="4" t="s">
        <v>63</v>
      </c>
      <c r="H41" s="4" t="s">
        <v>64</v>
      </c>
      <c r="I41" s="4"/>
      <c r="J41" s="4"/>
      <c r="K41" s="4">
        <v>225</v>
      </c>
      <c r="L41" s="4">
        <v>4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226</v>
      </c>
      <c r="F42" s="4">
        <f>ROUND(Source!AW36,O42)</f>
        <v>20500.88</v>
      </c>
      <c r="G42" s="4" t="s">
        <v>65</v>
      </c>
      <c r="H42" s="4" t="s">
        <v>66</v>
      </c>
      <c r="I42" s="4"/>
      <c r="J42" s="4"/>
      <c r="K42" s="4">
        <v>226</v>
      </c>
      <c r="L42" s="4">
        <v>5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227</v>
      </c>
      <c r="F43" s="4">
        <f>ROUND(Source!AX36,O43)</f>
        <v>0</v>
      </c>
      <c r="G43" s="4" t="s">
        <v>67</v>
      </c>
      <c r="H43" s="4" t="s">
        <v>68</v>
      </c>
      <c r="I43" s="4"/>
      <c r="J43" s="4"/>
      <c r="K43" s="4">
        <v>227</v>
      </c>
      <c r="L43" s="4">
        <v>6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228</v>
      </c>
      <c r="F44" s="4">
        <f>ROUND(Source!AY36,O44)</f>
        <v>20500.88</v>
      </c>
      <c r="G44" s="4" t="s">
        <v>69</v>
      </c>
      <c r="H44" s="4" t="s">
        <v>70</v>
      </c>
      <c r="I44" s="4"/>
      <c r="J44" s="4"/>
      <c r="K44" s="4">
        <v>228</v>
      </c>
      <c r="L44" s="4">
        <v>7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216</v>
      </c>
      <c r="F45" s="4">
        <f>ROUND(Source!AP36,O45)</f>
        <v>0</v>
      </c>
      <c r="G45" s="4" t="s">
        <v>71</v>
      </c>
      <c r="H45" s="4" t="s">
        <v>72</v>
      </c>
      <c r="I45" s="4"/>
      <c r="J45" s="4"/>
      <c r="K45" s="4">
        <v>216</v>
      </c>
      <c r="L45" s="4">
        <v>8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223</v>
      </c>
      <c r="F46" s="4">
        <f>ROUND(Source!AQ36,O46)</f>
        <v>0</v>
      </c>
      <c r="G46" s="4" t="s">
        <v>73</v>
      </c>
      <c r="H46" s="4" t="s">
        <v>74</v>
      </c>
      <c r="I46" s="4"/>
      <c r="J46" s="4"/>
      <c r="K46" s="4">
        <v>223</v>
      </c>
      <c r="L46" s="4">
        <v>9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229</v>
      </c>
      <c r="F47" s="4">
        <f>ROUND(Source!AZ36,O47)</f>
        <v>0</v>
      </c>
      <c r="G47" s="4" t="s">
        <v>75</v>
      </c>
      <c r="H47" s="4" t="s">
        <v>76</v>
      </c>
      <c r="I47" s="4"/>
      <c r="J47" s="4"/>
      <c r="K47" s="4">
        <v>229</v>
      </c>
      <c r="L47" s="4">
        <v>10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203</v>
      </c>
      <c r="F48" s="4">
        <f>ROUND(Source!Q36,O48)</f>
        <v>8240.34</v>
      </c>
      <c r="G48" s="4" t="s">
        <v>77</v>
      </c>
      <c r="H48" s="4" t="s">
        <v>78</v>
      </c>
      <c r="I48" s="4"/>
      <c r="J48" s="4"/>
      <c r="K48" s="4">
        <v>203</v>
      </c>
      <c r="L48" s="4">
        <v>11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231</v>
      </c>
      <c r="F49" s="4">
        <f>ROUND(Source!BB36,O49)</f>
        <v>0</v>
      </c>
      <c r="G49" s="4" t="s">
        <v>79</v>
      </c>
      <c r="H49" s="4" t="s">
        <v>80</v>
      </c>
      <c r="I49" s="4"/>
      <c r="J49" s="4"/>
      <c r="K49" s="4">
        <v>231</v>
      </c>
      <c r="L49" s="4">
        <v>12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204</v>
      </c>
      <c r="F50" s="4">
        <f>ROUND(Source!R36,O50)</f>
        <v>3164.89</v>
      </c>
      <c r="G50" s="4" t="s">
        <v>81</v>
      </c>
      <c r="H50" s="4" t="s">
        <v>82</v>
      </c>
      <c r="I50" s="4"/>
      <c r="J50" s="4"/>
      <c r="K50" s="4">
        <v>204</v>
      </c>
      <c r="L50" s="4">
        <v>13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205</v>
      </c>
      <c r="F51" s="4">
        <f>ROUND(Source!S36,O51)</f>
        <v>68143.62</v>
      </c>
      <c r="G51" s="4" t="s">
        <v>83</v>
      </c>
      <c r="H51" s="4" t="s">
        <v>84</v>
      </c>
      <c r="I51" s="4"/>
      <c r="J51" s="4"/>
      <c r="K51" s="4">
        <v>205</v>
      </c>
      <c r="L51" s="4">
        <v>14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232</v>
      </c>
      <c r="F52" s="4">
        <f>ROUND(Source!BC36,O52)</f>
        <v>0</v>
      </c>
      <c r="G52" s="4" t="s">
        <v>85</v>
      </c>
      <c r="H52" s="4" t="s">
        <v>86</v>
      </c>
      <c r="I52" s="4"/>
      <c r="J52" s="4"/>
      <c r="K52" s="4">
        <v>232</v>
      </c>
      <c r="L52" s="4">
        <v>15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214</v>
      </c>
      <c r="F53" s="4">
        <f>ROUND(Source!AS36,O53)</f>
        <v>244227.51</v>
      </c>
      <c r="G53" s="4" t="s">
        <v>87</v>
      </c>
      <c r="H53" s="4" t="s">
        <v>88</v>
      </c>
      <c r="I53" s="4"/>
      <c r="J53" s="4"/>
      <c r="K53" s="4">
        <v>214</v>
      </c>
      <c r="L53" s="4">
        <v>16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215</v>
      </c>
      <c r="F54" s="4">
        <f>ROUND(Source!AT36,O54)</f>
        <v>0</v>
      </c>
      <c r="G54" s="4" t="s">
        <v>89</v>
      </c>
      <c r="H54" s="4" t="s">
        <v>90</v>
      </c>
      <c r="I54" s="4"/>
      <c r="J54" s="4"/>
      <c r="K54" s="4">
        <v>215</v>
      </c>
      <c r="L54" s="4">
        <v>17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217</v>
      </c>
      <c r="F55" s="4">
        <f>ROUND(Source!AU36,O55)</f>
        <v>20500.88</v>
      </c>
      <c r="G55" s="4" t="s">
        <v>91</v>
      </c>
      <c r="H55" s="4" t="s">
        <v>92</v>
      </c>
      <c r="I55" s="4"/>
      <c r="J55" s="4"/>
      <c r="K55" s="4">
        <v>217</v>
      </c>
      <c r="L55" s="4">
        <v>18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230</v>
      </c>
      <c r="F56" s="4">
        <f>ROUND(Source!BA36,O56)</f>
        <v>0</v>
      </c>
      <c r="G56" s="4" t="s">
        <v>93</v>
      </c>
      <c r="H56" s="4" t="s">
        <v>94</v>
      </c>
      <c r="I56" s="4"/>
      <c r="J56" s="4"/>
      <c r="K56" s="4">
        <v>230</v>
      </c>
      <c r="L56" s="4">
        <v>19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206</v>
      </c>
      <c r="F57" s="4">
        <f>ROUND(Source!T36,O57)</f>
        <v>0</v>
      </c>
      <c r="G57" s="4" t="s">
        <v>95</v>
      </c>
      <c r="H57" s="4" t="s">
        <v>96</v>
      </c>
      <c r="I57" s="4"/>
      <c r="J57" s="4"/>
      <c r="K57" s="4">
        <v>206</v>
      </c>
      <c r="L57" s="4">
        <v>20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207</v>
      </c>
      <c r="F58" s="4">
        <f>Source!U36</f>
        <v>342.27916800000003</v>
      </c>
      <c r="G58" s="4" t="s">
        <v>97</v>
      </c>
      <c r="H58" s="4" t="s">
        <v>98</v>
      </c>
      <c r="I58" s="4"/>
      <c r="J58" s="4"/>
      <c r="K58" s="4">
        <v>207</v>
      </c>
      <c r="L58" s="4">
        <v>21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208</v>
      </c>
      <c r="F59" s="4">
        <f>Source!V36</f>
        <v>11.624832000000001</v>
      </c>
      <c r="G59" s="4" t="s">
        <v>99</v>
      </c>
      <c r="H59" s="4" t="s">
        <v>100</v>
      </c>
      <c r="I59" s="4"/>
      <c r="J59" s="4"/>
      <c r="K59" s="4">
        <v>208</v>
      </c>
      <c r="L59" s="4">
        <v>22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209</v>
      </c>
      <c r="F60" s="4">
        <f>ROUND(Source!W36,O60)</f>
        <v>0</v>
      </c>
      <c r="G60" s="4" t="s">
        <v>101</v>
      </c>
      <c r="H60" s="4" t="s">
        <v>102</v>
      </c>
      <c r="I60" s="4"/>
      <c r="J60" s="4"/>
      <c r="K60" s="4">
        <v>209</v>
      </c>
      <c r="L60" s="4">
        <v>23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ROUND(Source!X36,O61)</f>
        <v>86283.3</v>
      </c>
      <c r="G61" s="4" t="s">
        <v>103</v>
      </c>
      <c r="H61" s="4" t="s">
        <v>104</v>
      </c>
      <c r="I61" s="4"/>
      <c r="J61" s="4"/>
      <c r="K61" s="4">
        <v>210</v>
      </c>
      <c r="L61" s="4">
        <v>24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ROUND(Source!Y36,O62)</f>
        <v>54194.47</v>
      </c>
      <c r="G62" s="4" t="s">
        <v>105</v>
      </c>
      <c r="H62" s="4" t="s">
        <v>106</v>
      </c>
      <c r="I62" s="4"/>
      <c r="J62" s="4"/>
      <c r="K62" s="4">
        <v>211</v>
      </c>
      <c r="L62" s="4">
        <v>25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ROUND(Source!AR36,O63)</f>
        <v>264728.39</v>
      </c>
      <c r="G63" s="4" t="s">
        <v>107</v>
      </c>
      <c r="H63" s="4" t="s">
        <v>108</v>
      </c>
      <c r="I63" s="4"/>
      <c r="J63" s="4"/>
      <c r="K63" s="4">
        <v>224</v>
      </c>
      <c r="L63" s="4">
        <v>26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5" spans="1:245" x14ac:dyDescent="0.2">
      <c r="A65" s="1">
        <v>4</v>
      </c>
      <c r="B65" s="1">
        <v>1</v>
      </c>
      <c r="C65" s="1"/>
      <c r="D65" s="1">
        <f>ROW(A86)</f>
        <v>86</v>
      </c>
      <c r="E65" s="1"/>
      <c r="F65" s="1" t="s">
        <v>12</v>
      </c>
      <c r="G65" s="1" t="s">
        <v>109</v>
      </c>
      <c r="H65" s="1" t="s">
        <v>3</v>
      </c>
      <c r="I65" s="1">
        <v>0</v>
      </c>
      <c r="J65" s="1"/>
      <c r="K65" s="1">
        <v>0</v>
      </c>
      <c r="L65" s="1"/>
      <c r="M65" s="1"/>
      <c r="N65" s="1"/>
      <c r="O65" s="1"/>
      <c r="P65" s="1"/>
      <c r="Q65" s="1"/>
      <c r="R65" s="1"/>
      <c r="S65" s="1"/>
      <c r="T65" s="1"/>
      <c r="U65" s="1" t="s">
        <v>3</v>
      </c>
      <c r="V65" s="1">
        <v>0</v>
      </c>
      <c r="W65" s="1"/>
      <c r="X65" s="1"/>
      <c r="Y65" s="1"/>
      <c r="Z65" s="1"/>
      <c r="AA65" s="1"/>
      <c r="AB65" s="1" t="s">
        <v>3</v>
      </c>
      <c r="AC65" s="1" t="s">
        <v>3</v>
      </c>
      <c r="AD65" s="1" t="s">
        <v>3</v>
      </c>
      <c r="AE65" s="1" t="s">
        <v>3</v>
      </c>
      <c r="AF65" s="1" t="s">
        <v>3</v>
      </c>
      <c r="AG65" s="1" t="s">
        <v>3</v>
      </c>
      <c r="AH65" s="1"/>
      <c r="AI65" s="1"/>
      <c r="AJ65" s="1"/>
      <c r="AK65" s="1"/>
      <c r="AL65" s="1"/>
      <c r="AM65" s="1"/>
      <c r="AN65" s="1"/>
      <c r="AO65" s="1"/>
      <c r="AP65" s="1" t="s">
        <v>3</v>
      </c>
      <c r="AQ65" s="1" t="s">
        <v>3</v>
      </c>
      <c r="AR65" s="1" t="s">
        <v>3</v>
      </c>
      <c r="AS65" s="1"/>
      <c r="AT65" s="1"/>
      <c r="AU65" s="1"/>
      <c r="AV65" s="1"/>
      <c r="AW65" s="1"/>
      <c r="AX65" s="1"/>
      <c r="AY65" s="1"/>
      <c r="AZ65" s="1" t="s">
        <v>3</v>
      </c>
      <c r="BA65" s="1"/>
      <c r="BB65" s="1" t="s">
        <v>3</v>
      </c>
      <c r="BC65" s="1" t="s">
        <v>3</v>
      </c>
      <c r="BD65" s="1" t="s">
        <v>3</v>
      </c>
      <c r="BE65" s="1" t="s">
        <v>3</v>
      </c>
      <c r="BF65" s="1" t="s">
        <v>3</v>
      </c>
      <c r="BG65" s="1" t="s">
        <v>3</v>
      </c>
      <c r="BH65" s="1" t="s">
        <v>3</v>
      </c>
      <c r="BI65" s="1" t="s">
        <v>3</v>
      </c>
      <c r="BJ65" s="1" t="s">
        <v>3</v>
      </c>
      <c r="BK65" s="1" t="s">
        <v>3</v>
      </c>
      <c r="BL65" s="1" t="s">
        <v>3</v>
      </c>
      <c r="BM65" s="1" t="s">
        <v>3</v>
      </c>
      <c r="BN65" s="1" t="s">
        <v>3</v>
      </c>
      <c r="BO65" s="1" t="s">
        <v>3</v>
      </c>
      <c r="BP65" s="1" t="s">
        <v>3</v>
      </c>
      <c r="BQ65" s="1"/>
      <c r="BR65" s="1"/>
      <c r="BS65" s="1"/>
      <c r="BT65" s="1"/>
      <c r="BU65" s="1"/>
      <c r="BV65" s="1"/>
      <c r="BW65" s="1"/>
      <c r="BX65" s="1">
        <v>0</v>
      </c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>
        <v>0</v>
      </c>
    </row>
    <row r="67" spans="1:245" x14ac:dyDescent="0.2">
      <c r="A67" s="2">
        <v>52</v>
      </c>
      <c r="B67" s="2">
        <f t="shared" ref="B67:G67" si="31">B86</f>
        <v>1</v>
      </c>
      <c r="C67" s="2">
        <f t="shared" si="31"/>
        <v>4</v>
      </c>
      <c r="D67" s="2">
        <f t="shared" si="31"/>
        <v>65</v>
      </c>
      <c r="E67" s="2">
        <f t="shared" si="31"/>
        <v>0</v>
      </c>
      <c r="F67" s="2" t="str">
        <f t="shared" si="31"/>
        <v>Новый раздел</v>
      </c>
      <c r="G67" s="2" t="str">
        <f t="shared" si="31"/>
        <v>Озеленение</v>
      </c>
      <c r="H67" s="2"/>
      <c r="I67" s="2"/>
      <c r="J67" s="2"/>
      <c r="K67" s="2"/>
      <c r="L67" s="2"/>
      <c r="M67" s="2"/>
      <c r="N67" s="2"/>
      <c r="O67" s="2">
        <f t="shared" ref="O67:AT67" si="32">O86</f>
        <v>13385130.949999999</v>
      </c>
      <c r="P67" s="2">
        <f t="shared" si="32"/>
        <v>12929173.16</v>
      </c>
      <c r="Q67" s="2">
        <f t="shared" si="32"/>
        <v>64579.79</v>
      </c>
      <c r="R67" s="2">
        <f t="shared" si="32"/>
        <v>26887.33</v>
      </c>
      <c r="S67" s="2">
        <f t="shared" si="32"/>
        <v>391378</v>
      </c>
      <c r="T67" s="2">
        <f t="shared" si="32"/>
        <v>0</v>
      </c>
      <c r="U67" s="2">
        <f t="shared" si="32"/>
        <v>1852.8980000000001</v>
      </c>
      <c r="V67" s="2">
        <f t="shared" si="32"/>
        <v>90.212000000000003</v>
      </c>
      <c r="W67" s="2">
        <f t="shared" si="32"/>
        <v>0</v>
      </c>
      <c r="X67" s="2">
        <f t="shared" si="32"/>
        <v>413648.25</v>
      </c>
      <c r="Y67" s="2">
        <f t="shared" si="32"/>
        <v>300862.7</v>
      </c>
      <c r="Z67" s="2">
        <f t="shared" si="32"/>
        <v>0</v>
      </c>
      <c r="AA67" s="2">
        <f t="shared" si="32"/>
        <v>0</v>
      </c>
      <c r="AB67" s="2">
        <f t="shared" si="32"/>
        <v>13385130.949999999</v>
      </c>
      <c r="AC67" s="2">
        <f t="shared" si="32"/>
        <v>12929173.16</v>
      </c>
      <c r="AD67" s="2">
        <f t="shared" si="32"/>
        <v>64579.79</v>
      </c>
      <c r="AE67" s="2">
        <f t="shared" si="32"/>
        <v>26887.33</v>
      </c>
      <c r="AF67" s="2">
        <f t="shared" si="32"/>
        <v>391378</v>
      </c>
      <c r="AG67" s="2">
        <f t="shared" si="32"/>
        <v>0</v>
      </c>
      <c r="AH67" s="2">
        <f t="shared" si="32"/>
        <v>1852.8980000000001</v>
      </c>
      <c r="AI67" s="2">
        <f t="shared" si="32"/>
        <v>90.212000000000003</v>
      </c>
      <c r="AJ67" s="2">
        <f t="shared" si="32"/>
        <v>0</v>
      </c>
      <c r="AK67" s="2">
        <f t="shared" si="32"/>
        <v>413648.25</v>
      </c>
      <c r="AL67" s="2">
        <f t="shared" si="32"/>
        <v>300862.7</v>
      </c>
      <c r="AM67" s="2">
        <f t="shared" si="32"/>
        <v>0</v>
      </c>
      <c r="AN67" s="2">
        <f t="shared" si="32"/>
        <v>0</v>
      </c>
      <c r="AO67" s="2">
        <f t="shared" si="32"/>
        <v>0</v>
      </c>
      <c r="AP67" s="2">
        <f t="shared" si="32"/>
        <v>0</v>
      </c>
      <c r="AQ67" s="2">
        <f t="shared" si="32"/>
        <v>0</v>
      </c>
      <c r="AR67" s="2">
        <f t="shared" si="32"/>
        <v>14242604.949999999</v>
      </c>
      <c r="AS67" s="2">
        <f t="shared" si="32"/>
        <v>14212208.609999999</v>
      </c>
      <c r="AT67" s="2">
        <f t="shared" si="32"/>
        <v>0</v>
      </c>
      <c r="AU67" s="2">
        <f t="shared" ref="AU67:BZ67" si="33">AU86</f>
        <v>30396.34</v>
      </c>
      <c r="AV67" s="2">
        <f t="shared" si="33"/>
        <v>12929173.16</v>
      </c>
      <c r="AW67" s="2">
        <f t="shared" si="33"/>
        <v>12929173.16</v>
      </c>
      <c r="AX67" s="2">
        <f t="shared" si="33"/>
        <v>0</v>
      </c>
      <c r="AY67" s="2">
        <f t="shared" si="33"/>
        <v>12929173.16</v>
      </c>
      <c r="AZ67" s="2">
        <f t="shared" si="33"/>
        <v>0</v>
      </c>
      <c r="BA67" s="2">
        <f t="shared" si="33"/>
        <v>0</v>
      </c>
      <c r="BB67" s="2">
        <f t="shared" si="33"/>
        <v>0</v>
      </c>
      <c r="BC67" s="2">
        <f t="shared" si="33"/>
        <v>0</v>
      </c>
      <c r="BD67" s="2">
        <f t="shared" si="33"/>
        <v>0</v>
      </c>
      <c r="BE67" s="2">
        <f t="shared" si="33"/>
        <v>0</v>
      </c>
      <c r="BF67" s="2">
        <f t="shared" si="33"/>
        <v>0</v>
      </c>
      <c r="BG67" s="2">
        <f t="shared" si="33"/>
        <v>0</v>
      </c>
      <c r="BH67" s="2">
        <f t="shared" si="33"/>
        <v>0</v>
      </c>
      <c r="BI67" s="2">
        <f t="shared" si="33"/>
        <v>0</v>
      </c>
      <c r="BJ67" s="2">
        <f t="shared" si="33"/>
        <v>0</v>
      </c>
      <c r="BK67" s="2">
        <f t="shared" si="33"/>
        <v>0</v>
      </c>
      <c r="BL67" s="2">
        <f t="shared" si="33"/>
        <v>0</v>
      </c>
      <c r="BM67" s="2">
        <f t="shared" si="33"/>
        <v>0</v>
      </c>
      <c r="BN67" s="2">
        <f t="shared" si="33"/>
        <v>0</v>
      </c>
      <c r="BO67" s="2">
        <f t="shared" si="33"/>
        <v>0</v>
      </c>
      <c r="BP67" s="2">
        <f t="shared" si="33"/>
        <v>0</v>
      </c>
      <c r="BQ67" s="2">
        <f t="shared" si="33"/>
        <v>0</v>
      </c>
      <c r="BR67" s="2">
        <f t="shared" si="33"/>
        <v>0</v>
      </c>
      <c r="BS67" s="2">
        <f t="shared" si="33"/>
        <v>0</v>
      </c>
      <c r="BT67" s="2">
        <f t="shared" si="33"/>
        <v>0</v>
      </c>
      <c r="BU67" s="2">
        <f t="shared" si="33"/>
        <v>0</v>
      </c>
      <c r="BV67" s="2">
        <f t="shared" si="33"/>
        <v>0</v>
      </c>
      <c r="BW67" s="2">
        <f t="shared" si="33"/>
        <v>0</v>
      </c>
      <c r="BX67" s="2">
        <f t="shared" si="33"/>
        <v>0</v>
      </c>
      <c r="BY67" s="2">
        <f t="shared" si="33"/>
        <v>0</v>
      </c>
      <c r="BZ67" s="2">
        <f t="shared" si="33"/>
        <v>0</v>
      </c>
      <c r="CA67" s="2">
        <f t="shared" ref="CA67:DF67" si="34">CA86</f>
        <v>14242604.949999999</v>
      </c>
      <c r="CB67" s="2">
        <f t="shared" si="34"/>
        <v>14212208.609999999</v>
      </c>
      <c r="CC67" s="2">
        <f t="shared" si="34"/>
        <v>0</v>
      </c>
      <c r="CD67" s="2">
        <f t="shared" si="34"/>
        <v>30396.34</v>
      </c>
      <c r="CE67" s="2">
        <f t="shared" si="34"/>
        <v>12929173.16</v>
      </c>
      <c r="CF67" s="2">
        <f t="shared" si="34"/>
        <v>12929173.16</v>
      </c>
      <c r="CG67" s="2">
        <f t="shared" si="34"/>
        <v>0</v>
      </c>
      <c r="CH67" s="2">
        <f t="shared" si="34"/>
        <v>12929173.16</v>
      </c>
      <c r="CI67" s="2">
        <f t="shared" si="34"/>
        <v>0</v>
      </c>
      <c r="CJ67" s="2">
        <f t="shared" si="34"/>
        <v>0</v>
      </c>
      <c r="CK67" s="2">
        <f t="shared" si="34"/>
        <v>0</v>
      </c>
      <c r="CL67" s="2">
        <f t="shared" si="34"/>
        <v>0</v>
      </c>
      <c r="CM67" s="2">
        <f t="shared" si="34"/>
        <v>0</v>
      </c>
      <c r="CN67" s="2">
        <f t="shared" si="34"/>
        <v>0</v>
      </c>
      <c r="CO67" s="2">
        <f t="shared" si="34"/>
        <v>0</v>
      </c>
      <c r="CP67" s="2">
        <f t="shared" si="34"/>
        <v>0</v>
      </c>
      <c r="CQ67" s="2">
        <f t="shared" si="34"/>
        <v>0</v>
      </c>
      <c r="CR67" s="2">
        <f t="shared" si="34"/>
        <v>0</v>
      </c>
      <c r="CS67" s="2">
        <f t="shared" si="34"/>
        <v>0</v>
      </c>
      <c r="CT67" s="2">
        <f t="shared" si="34"/>
        <v>0</v>
      </c>
      <c r="CU67" s="2">
        <f t="shared" si="34"/>
        <v>0</v>
      </c>
      <c r="CV67" s="2">
        <f t="shared" si="34"/>
        <v>0</v>
      </c>
      <c r="CW67" s="2">
        <f t="shared" si="34"/>
        <v>0</v>
      </c>
      <c r="CX67" s="2">
        <f t="shared" si="34"/>
        <v>0</v>
      </c>
      <c r="CY67" s="2">
        <f t="shared" si="34"/>
        <v>0</v>
      </c>
      <c r="CZ67" s="2">
        <f t="shared" si="34"/>
        <v>0</v>
      </c>
      <c r="DA67" s="2">
        <f t="shared" si="34"/>
        <v>0</v>
      </c>
      <c r="DB67" s="2">
        <f t="shared" si="34"/>
        <v>0</v>
      </c>
      <c r="DC67" s="2">
        <f t="shared" si="34"/>
        <v>0</v>
      </c>
      <c r="DD67" s="2">
        <f t="shared" si="34"/>
        <v>0</v>
      </c>
      <c r="DE67" s="2">
        <f t="shared" si="34"/>
        <v>0</v>
      </c>
      <c r="DF67" s="2">
        <f t="shared" si="34"/>
        <v>0</v>
      </c>
      <c r="DG67" s="3">
        <f t="shared" ref="DG67:EL67" si="35">DG86</f>
        <v>0</v>
      </c>
      <c r="DH67" s="3">
        <f t="shared" si="35"/>
        <v>0</v>
      </c>
      <c r="DI67" s="3">
        <f t="shared" si="35"/>
        <v>0</v>
      </c>
      <c r="DJ67" s="3">
        <f t="shared" si="35"/>
        <v>0</v>
      </c>
      <c r="DK67" s="3">
        <f t="shared" si="35"/>
        <v>0</v>
      </c>
      <c r="DL67" s="3">
        <f t="shared" si="35"/>
        <v>0</v>
      </c>
      <c r="DM67" s="3">
        <f t="shared" si="35"/>
        <v>0</v>
      </c>
      <c r="DN67" s="3">
        <f t="shared" si="35"/>
        <v>0</v>
      </c>
      <c r="DO67" s="3">
        <f t="shared" si="35"/>
        <v>0</v>
      </c>
      <c r="DP67" s="3">
        <f t="shared" si="35"/>
        <v>0</v>
      </c>
      <c r="DQ67" s="3">
        <f t="shared" si="35"/>
        <v>0</v>
      </c>
      <c r="DR67" s="3">
        <f t="shared" si="35"/>
        <v>0</v>
      </c>
      <c r="DS67" s="3">
        <f t="shared" si="35"/>
        <v>0</v>
      </c>
      <c r="DT67" s="3">
        <f t="shared" si="35"/>
        <v>0</v>
      </c>
      <c r="DU67" s="3">
        <f t="shared" si="35"/>
        <v>0</v>
      </c>
      <c r="DV67" s="3">
        <f t="shared" si="35"/>
        <v>0</v>
      </c>
      <c r="DW67" s="3">
        <f t="shared" si="35"/>
        <v>0</v>
      </c>
      <c r="DX67" s="3">
        <f t="shared" si="35"/>
        <v>0</v>
      </c>
      <c r="DY67" s="3">
        <f t="shared" si="35"/>
        <v>0</v>
      </c>
      <c r="DZ67" s="3">
        <f t="shared" si="35"/>
        <v>0</v>
      </c>
      <c r="EA67" s="3">
        <f t="shared" si="35"/>
        <v>0</v>
      </c>
      <c r="EB67" s="3">
        <f t="shared" si="35"/>
        <v>0</v>
      </c>
      <c r="EC67" s="3">
        <f t="shared" si="35"/>
        <v>0</v>
      </c>
      <c r="ED67" s="3">
        <f t="shared" si="35"/>
        <v>0</v>
      </c>
      <c r="EE67" s="3">
        <f t="shared" si="35"/>
        <v>0</v>
      </c>
      <c r="EF67" s="3">
        <f t="shared" si="35"/>
        <v>0</v>
      </c>
      <c r="EG67" s="3">
        <f t="shared" si="35"/>
        <v>0</v>
      </c>
      <c r="EH67" s="3">
        <f t="shared" si="35"/>
        <v>0</v>
      </c>
      <c r="EI67" s="3">
        <f t="shared" si="35"/>
        <v>0</v>
      </c>
      <c r="EJ67" s="3">
        <f t="shared" si="35"/>
        <v>0</v>
      </c>
      <c r="EK67" s="3">
        <f t="shared" si="35"/>
        <v>0</v>
      </c>
      <c r="EL67" s="3">
        <f t="shared" si="35"/>
        <v>0</v>
      </c>
      <c r="EM67" s="3">
        <f t="shared" ref="EM67:FR67" si="36">EM86</f>
        <v>0</v>
      </c>
      <c r="EN67" s="3">
        <f t="shared" si="36"/>
        <v>0</v>
      </c>
      <c r="EO67" s="3">
        <f t="shared" si="36"/>
        <v>0</v>
      </c>
      <c r="EP67" s="3">
        <f t="shared" si="36"/>
        <v>0</v>
      </c>
      <c r="EQ67" s="3">
        <f t="shared" si="36"/>
        <v>0</v>
      </c>
      <c r="ER67" s="3">
        <f t="shared" si="36"/>
        <v>0</v>
      </c>
      <c r="ES67" s="3">
        <f t="shared" si="36"/>
        <v>0</v>
      </c>
      <c r="ET67" s="3">
        <f t="shared" si="36"/>
        <v>0</v>
      </c>
      <c r="EU67" s="3">
        <f t="shared" si="36"/>
        <v>0</v>
      </c>
      <c r="EV67" s="3">
        <f t="shared" si="36"/>
        <v>0</v>
      </c>
      <c r="EW67" s="3">
        <f t="shared" si="36"/>
        <v>0</v>
      </c>
      <c r="EX67" s="3">
        <f t="shared" si="36"/>
        <v>0</v>
      </c>
      <c r="EY67" s="3">
        <f t="shared" si="36"/>
        <v>0</v>
      </c>
      <c r="EZ67" s="3">
        <f t="shared" si="36"/>
        <v>0</v>
      </c>
      <c r="FA67" s="3">
        <f t="shared" si="36"/>
        <v>0</v>
      </c>
      <c r="FB67" s="3">
        <f t="shared" si="36"/>
        <v>0</v>
      </c>
      <c r="FC67" s="3">
        <f t="shared" si="36"/>
        <v>0</v>
      </c>
      <c r="FD67" s="3">
        <f t="shared" si="36"/>
        <v>0</v>
      </c>
      <c r="FE67" s="3">
        <f t="shared" si="36"/>
        <v>0</v>
      </c>
      <c r="FF67" s="3">
        <f t="shared" si="36"/>
        <v>0</v>
      </c>
      <c r="FG67" s="3">
        <f t="shared" si="36"/>
        <v>0</v>
      </c>
      <c r="FH67" s="3">
        <f t="shared" si="36"/>
        <v>0</v>
      </c>
      <c r="FI67" s="3">
        <f t="shared" si="36"/>
        <v>0</v>
      </c>
      <c r="FJ67" s="3">
        <f t="shared" si="36"/>
        <v>0</v>
      </c>
      <c r="FK67" s="3">
        <f t="shared" si="36"/>
        <v>0</v>
      </c>
      <c r="FL67" s="3">
        <f t="shared" si="36"/>
        <v>0</v>
      </c>
      <c r="FM67" s="3">
        <f t="shared" si="36"/>
        <v>0</v>
      </c>
      <c r="FN67" s="3">
        <f t="shared" si="36"/>
        <v>0</v>
      </c>
      <c r="FO67" s="3">
        <f t="shared" si="36"/>
        <v>0</v>
      </c>
      <c r="FP67" s="3">
        <f t="shared" si="36"/>
        <v>0</v>
      </c>
      <c r="FQ67" s="3">
        <f t="shared" si="36"/>
        <v>0</v>
      </c>
      <c r="FR67" s="3">
        <f t="shared" si="36"/>
        <v>0</v>
      </c>
      <c r="FS67" s="3">
        <f t="shared" ref="FS67:GX67" si="37">FS86</f>
        <v>0</v>
      </c>
      <c r="FT67" s="3">
        <f t="shared" si="37"/>
        <v>0</v>
      </c>
      <c r="FU67" s="3">
        <f t="shared" si="37"/>
        <v>0</v>
      </c>
      <c r="FV67" s="3">
        <f t="shared" si="37"/>
        <v>0</v>
      </c>
      <c r="FW67" s="3">
        <f t="shared" si="37"/>
        <v>0</v>
      </c>
      <c r="FX67" s="3">
        <f t="shared" si="37"/>
        <v>0</v>
      </c>
      <c r="FY67" s="3">
        <f t="shared" si="37"/>
        <v>0</v>
      </c>
      <c r="FZ67" s="3">
        <f t="shared" si="37"/>
        <v>0</v>
      </c>
      <c r="GA67" s="3">
        <f t="shared" si="37"/>
        <v>0</v>
      </c>
      <c r="GB67" s="3">
        <f t="shared" si="37"/>
        <v>0</v>
      </c>
      <c r="GC67" s="3">
        <f t="shared" si="37"/>
        <v>0</v>
      </c>
      <c r="GD67" s="3">
        <f t="shared" si="37"/>
        <v>0</v>
      </c>
      <c r="GE67" s="3">
        <f t="shared" si="37"/>
        <v>0</v>
      </c>
      <c r="GF67" s="3">
        <f t="shared" si="37"/>
        <v>0</v>
      </c>
      <c r="GG67" s="3">
        <f t="shared" si="37"/>
        <v>0</v>
      </c>
      <c r="GH67" s="3">
        <f t="shared" si="37"/>
        <v>0</v>
      </c>
      <c r="GI67" s="3">
        <f t="shared" si="37"/>
        <v>0</v>
      </c>
      <c r="GJ67" s="3">
        <f t="shared" si="37"/>
        <v>0</v>
      </c>
      <c r="GK67" s="3">
        <f t="shared" si="37"/>
        <v>0</v>
      </c>
      <c r="GL67" s="3">
        <f t="shared" si="37"/>
        <v>0</v>
      </c>
      <c r="GM67" s="3">
        <f t="shared" si="37"/>
        <v>0</v>
      </c>
      <c r="GN67" s="3">
        <f t="shared" si="37"/>
        <v>0</v>
      </c>
      <c r="GO67" s="3">
        <f t="shared" si="37"/>
        <v>0</v>
      </c>
      <c r="GP67" s="3">
        <f t="shared" si="37"/>
        <v>0</v>
      </c>
      <c r="GQ67" s="3">
        <f t="shared" si="37"/>
        <v>0</v>
      </c>
      <c r="GR67" s="3">
        <f t="shared" si="37"/>
        <v>0</v>
      </c>
      <c r="GS67" s="3">
        <f t="shared" si="37"/>
        <v>0</v>
      </c>
      <c r="GT67" s="3">
        <f t="shared" si="37"/>
        <v>0</v>
      </c>
      <c r="GU67" s="3">
        <f t="shared" si="37"/>
        <v>0</v>
      </c>
      <c r="GV67" s="3">
        <f t="shared" si="37"/>
        <v>0</v>
      </c>
      <c r="GW67" s="3">
        <f t="shared" si="37"/>
        <v>0</v>
      </c>
      <c r="GX67" s="3">
        <f t="shared" si="37"/>
        <v>0</v>
      </c>
    </row>
    <row r="69" spans="1:245" x14ac:dyDescent="0.2">
      <c r="A69">
        <v>17</v>
      </c>
      <c r="B69">
        <v>1</v>
      </c>
      <c r="C69">
        <f>ROW(SmtRes!A15)</f>
        <v>15</v>
      </c>
      <c r="D69">
        <f>ROW(EtalonRes!A15)</f>
        <v>15</v>
      </c>
      <c r="E69" t="s">
        <v>110</v>
      </c>
      <c r="F69" t="s">
        <v>111</v>
      </c>
      <c r="G69" t="s">
        <v>112</v>
      </c>
      <c r="H69" t="s">
        <v>113</v>
      </c>
      <c r="I69">
        <f>ROUND(110/10,2)</f>
        <v>11</v>
      </c>
      <c r="J69">
        <v>0</v>
      </c>
      <c r="O69">
        <f>ROUND(CP69,2)</f>
        <v>325757.78999999998</v>
      </c>
      <c r="P69">
        <f>ROUND(CQ69*I69,2)</f>
        <v>172471.38</v>
      </c>
      <c r="Q69">
        <f>ROUND(CR69*I69,2)</f>
        <v>9888.8700000000008</v>
      </c>
      <c r="R69">
        <f>ROUND(CS69*I69,2)</f>
        <v>4518.45</v>
      </c>
      <c r="S69">
        <f>ROUND(CT69*I69,2)</f>
        <v>143397.54</v>
      </c>
      <c r="T69">
        <f>ROUND(CU69*I69,2)</f>
        <v>0</v>
      </c>
      <c r="U69">
        <f>CV69*I69</f>
        <v>742.5</v>
      </c>
      <c r="V69">
        <f>CW69*I69</f>
        <v>15.729999999999999</v>
      </c>
      <c r="W69">
        <f>ROUND(CX69*I69,2)</f>
        <v>0</v>
      </c>
      <c r="X69">
        <f>ROUND(CY69,2)</f>
        <v>144957.67000000001</v>
      </c>
      <c r="Y69">
        <f>ROUND(CZ69,2)</f>
        <v>106499.51</v>
      </c>
      <c r="AA69">
        <v>35026474</v>
      </c>
      <c r="AB69">
        <f>ROUND((AC69+AD69+AF69),2)</f>
        <v>3713.07</v>
      </c>
      <c r="AC69">
        <f>ROUND((ES69),2)</f>
        <v>3086.46</v>
      </c>
      <c r="AD69">
        <f>ROUND((((ET69)-(EU69))+AE69),2)</f>
        <v>100.11</v>
      </c>
      <c r="AE69">
        <f>ROUND((EU69),2)</f>
        <v>16.59</v>
      </c>
      <c r="AF69">
        <f>ROUND((EV69),2)</f>
        <v>526.5</v>
      </c>
      <c r="AG69">
        <f>ROUND((AP69),2)</f>
        <v>0</v>
      </c>
      <c r="AH69">
        <f>(EW69)</f>
        <v>67.5</v>
      </c>
      <c r="AI69">
        <f>(EX69)</f>
        <v>1.43</v>
      </c>
      <c r="AJ69">
        <f>ROUND((AS69),2)</f>
        <v>0</v>
      </c>
      <c r="AK69">
        <v>3713.07</v>
      </c>
      <c r="AL69">
        <v>3086.46</v>
      </c>
      <c r="AM69">
        <v>100.11</v>
      </c>
      <c r="AN69">
        <v>16.59</v>
      </c>
      <c r="AO69">
        <v>526.5</v>
      </c>
      <c r="AP69">
        <v>0</v>
      </c>
      <c r="AQ69">
        <v>67.5</v>
      </c>
      <c r="AR69">
        <v>1.43</v>
      </c>
      <c r="AS69">
        <v>0</v>
      </c>
      <c r="AT69">
        <v>98</v>
      </c>
      <c r="AU69">
        <v>72</v>
      </c>
      <c r="AV69">
        <v>1</v>
      </c>
      <c r="AW69">
        <v>1</v>
      </c>
      <c r="AZ69">
        <v>1</v>
      </c>
      <c r="BA69">
        <v>24.76</v>
      </c>
      <c r="BB69">
        <v>8.98</v>
      </c>
      <c r="BC69">
        <v>5.08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1</v>
      </c>
      <c r="BJ69" t="s">
        <v>114</v>
      </c>
      <c r="BM69">
        <v>47001</v>
      </c>
      <c r="BN69">
        <v>0</v>
      </c>
      <c r="BO69" t="s">
        <v>3</v>
      </c>
      <c r="BP69">
        <v>0</v>
      </c>
      <c r="BQ69">
        <v>2</v>
      </c>
      <c r="BR69">
        <v>0</v>
      </c>
      <c r="BS69">
        <v>24.76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115</v>
      </c>
      <c r="CA69">
        <v>90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>(P69+Q69+S69)</f>
        <v>325757.79000000004</v>
      </c>
      <c r="CQ69">
        <f>AC69*BC69</f>
        <v>15679.2168</v>
      </c>
      <c r="CR69">
        <f>AD69*BB69</f>
        <v>898.98779999999999</v>
      </c>
      <c r="CS69">
        <f>AE69*BS69</f>
        <v>410.76840000000004</v>
      </c>
      <c r="CT69">
        <f>AF69*BA69</f>
        <v>13036.140000000001</v>
      </c>
      <c r="CU69">
        <f t="shared" ref="CU69:CX70" si="38">AG69</f>
        <v>0</v>
      </c>
      <c r="CV69">
        <f t="shared" si="38"/>
        <v>67.5</v>
      </c>
      <c r="CW69">
        <f t="shared" si="38"/>
        <v>1.43</v>
      </c>
      <c r="CX69">
        <f t="shared" si="38"/>
        <v>0</v>
      </c>
      <c r="CY69">
        <f>(((S69+R69)*AT69)/100)</f>
        <v>144957.67020000002</v>
      </c>
      <c r="CZ69">
        <f>(((S69+R69)*AU69)/100)</f>
        <v>106499.51280000001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113</v>
      </c>
      <c r="DW69" t="s">
        <v>113</v>
      </c>
      <c r="DX69">
        <v>1</v>
      </c>
      <c r="EE69">
        <v>33409561</v>
      </c>
      <c r="EF69">
        <v>2</v>
      </c>
      <c r="EG69" t="s">
        <v>19</v>
      </c>
      <c r="EH69">
        <v>0</v>
      </c>
      <c r="EI69" t="s">
        <v>3</v>
      </c>
      <c r="EJ69">
        <v>1</v>
      </c>
      <c r="EK69">
        <v>47001</v>
      </c>
      <c r="EL69" t="s">
        <v>115</v>
      </c>
      <c r="EM69" t="s">
        <v>116</v>
      </c>
      <c r="EO69" t="s">
        <v>3</v>
      </c>
      <c r="EQ69">
        <v>0</v>
      </c>
      <c r="ER69">
        <v>3713.07</v>
      </c>
      <c r="ES69">
        <v>3086.46</v>
      </c>
      <c r="ET69">
        <v>100.11</v>
      </c>
      <c r="EU69">
        <v>16.59</v>
      </c>
      <c r="EV69">
        <v>526.5</v>
      </c>
      <c r="EW69">
        <v>67.5</v>
      </c>
      <c r="EX69">
        <v>1.43</v>
      </c>
      <c r="EY69">
        <v>0</v>
      </c>
      <c r="FQ69">
        <v>0</v>
      </c>
      <c r="FR69">
        <f t="shared" ref="FR69:FR84" si="39">ROUND(IF(AND(BH69=3,BI69=3),P69,0),2)</f>
        <v>0</v>
      </c>
      <c r="FS69">
        <v>0</v>
      </c>
      <c r="FV69" t="s">
        <v>22</v>
      </c>
      <c r="FW69" t="s">
        <v>23</v>
      </c>
      <c r="FX69">
        <v>115</v>
      </c>
      <c r="FY69">
        <v>90</v>
      </c>
      <c r="GA69" t="s">
        <v>3</v>
      </c>
      <c r="GD69">
        <v>0</v>
      </c>
      <c r="GF69">
        <v>1150286284</v>
      </c>
      <c r="GG69">
        <v>2</v>
      </c>
      <c r="GH69">
        <v>1</v>
      </c>
      <c r="GI69">
        <v>3</v>
      </c>
      <c r="GJ69">
        <v>0</v>
      </c>
      <c r="GK69">
        <f>ROUND(R69*(R12)/100,2)</f>
        <v>0</v>
      </c>
      <c r="GL69">
        <f t="shared" ref="GL69:GL84" si="40">ROUND(IF(AND(BH69=3,BI69=3,FS69&lt;&gt;0),P69,0),2)</f>
        <v>0</v>
      </c>
      <c r="GM69">
        <f>ROUND(O69+X69+Y69+GK69,2)+GX69</f>
        <v>577214.97</v>
      </c>
      <c r="GN69">
        <f>IF(OR(BI69=0,BI69=1),ROUND(O69+X69+Y69+GK69,2),0)</f>
        <v>577214.97</v>
      </c>
      <c r="GO69">
        <f>IF(BI69=2,ROUND(O69+X69+Y69+GK69,2),0)</f>
        <v>0</v>
      </c>
      <c r="GP69">
        <f>IF(BI69=4,ROUND(O69+X69+Y69+GK69,2)+GX69,0)</f>
        <v>0</v>
      </c>
      <c r="GR69">
        <v>0</v>
      </c>
      <c r="GS69">
        <v>3</v>
      </c>
      <c r="GT69">
        <v>0</v>
      </c>
      <c r="GU69" t="s">
        <v>3</v>
      </c>
      <c r="GV69">
        <f>ROUND(GT69,2)</f>
        <v>0</v>
      </c>
      <c r="GW69">
        <v>1</v>
      </c>
      <c r="GX69">
        <f t="shared" ref="GX69:GX84" si="41">ROUND(GV69*GW69*I69,2)</f>
        <v>0</v>
      </c>
      <c r="HA69">
        <v>0</v>
      </c>
      <c r="HB69">
        <v>0</v>
      </c>
      <c r="IK69">
        <v>0</v>
      </c>
    </row>
    <row r="70" spans="1:245" x14ac:dyDescent="0.2">
      <c r="A70">
        <v>18</v>
      </c>
      <c r="B70">
        <v>1</v>
      </c>
      <c r="C70">
        <v>15</v>
      </c>
      <c r="E70" t="s">
        <v>117</v>
      </c>
      <c r="F70" t="s">
        <v>118</v>
      </c>
      <c r="G70" t="s">
        <v>119</v>
      </c>
      <c r="H70" t="s">
        <v>120</v>
      </c>
      <c r="I70">
        <f>I69*J70</f>
        <v>11</v>
      </c>
      <c r="J70">
        <v>1</v>
      </c>
      <c r="O70">
        <f>ROUND(CP70,2)</f>
        <v>706.83</v>
      </c>
      <c r="P70">
        <f>ROUND(CQ70*I70,2)</f>
        <v>706.83</v>
      </c>
      <c r="Q70">
        <f>ROUND(CR70*I70,2)</f>
        <v>0</v>
      </c>
      <c r="R70">
        <f>ROUND(CS70*I70,2)</f>
        <v>0</v>
      </c>
      <c r="S70">
        <f>ROUND(CT70*I70,2)</f>
        <v>0</v>
      </c>
      <c r="T70">
        <f>ROUND(CU70*I70,2)</f>
        <v>0</v>
      </c>
      <c r="U70">
        <f>CV70*I70</f>
        <v>0</v>
      </c>
      <c r="V70">
        <f>CW70*I70</f>
        <v>0</v>
      </c>
      <c r="W70">
        <f>ROUND(CX70*I70,2)</f>
        <v>0</v>
      </c>
      <c r="X70">
        <f>ROUND(CY70,2)</f>
        <v>0</v>
      </c>
      <c r="Y70">
        <f>ROUND(CZ70,2)</f>
        <v>0</v>
      </c>
      <c r="AA70">
        <v>35026474</v>
      </c>
      <c r="AB70">
        <f>ROUND((AC70+AD70+AF70),2)</f>
        <v>8.66</v>
      </c>
      <c r="AC70">
        <f>ROUND((ES70),2)</f>
        <v>8.66</v>
      </c>
      <c r="AD70">
        <f>ROUND((((ET70)-(EU70))+AE70),2)</f>
        <v>0</v>
      </c>
      <c r="AE70">
        <f>ROUND((EU70),2)</f>
        <v>0</v>
      </c>
      <c r="AF70">
        <f>ROUND((EV70),2)</f>
        <v>0</v>
      </c>
      <c r="AG70">
        <f>ROUND((AP70),2)</f>
        <v>0</v>
      </c>
      <c r="AH70">
        <f>(EW70)</f>
        <v>0</v>
      </c>
      <c r="AI70">
        <f>(EX70)</f>
        <v>0</v>
      </c>
      <c r="AJ70">
        <f>ROUND((AS70),2)</f>
        <v>0</v>
      </c>
      <c r="AK70">
        <v>8.66</v>
      </c>
      <c r="AL70">
        <v>8.66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98</v>
      </c>
      <c r="AU70">
        <v>72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7.42</v>
      </c>
      <c r="BD70" t="s">
        <v>3</v>
      </c>
      <c r="BE70" t="s">
        <v>3</v>
      </c>
      <c r="BF70" t="s">
        <v>3</v>
      </c>
      <c r="BG70" t="s">
        <v>3</v>
      </c>
      <c r="BH70">
        <v>3</v>
      </c>
      <c r="BI70">
        <v>1</v>
      </c>
      <c r="BJ70" t="s">
        <v>121</v>
      </c>
      <c r="BM70">
        <v>47001</v>
      </c>
      <c r="BN70">
        <v>0</v>
      </c>
      <c r="BO70" t="s">
        <v>118</v>
      </c>
      <c r="BP70">
        <v>1</v>
      </c>
      <c r="BQ70">
        <v>2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115</v>
      </c>
      <c r="CA70">
        <v>90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>(P70+Q70+S70)</f>
        <v>706.83</v>
      </c>
      <c r="CQ70">
        <f>AC70*BC70</f>
        <v>64.257199999999997</v>
      </c>
      <c r="CR70">
        <f>AD70*BB70</f>
        <v>0</v>
      </c>
      <c r="CS70">
        <f>AE70*BS70</f>
        <v>0</v>
      </c>
      <c r="CT70">
        <f>AF70*BA70</f>
        <v>0</v>
      </c>
      <c r="CU70">
        <f t="shared" si="38"/>
        <v>0</v>
      </c>
      <c r="CV70">
        <f t="shared" si="38"/>
        <v>0</v>
      </c>
      <c r="CW70">
        <f t="shared" si="38"/>
        <v>0</v>
      </c>
      <c r="CX70">
        <f t="shared" si="38"/>
        <v>0</v>
      </c>
      <c r="CY70">
        <f>(((S70+R70)*AT70)/100)</f>
        <v>0</v>
      </c>
      <c r="CZ70">
        <f>(((S70+R70)*AU70)/100)</f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1009</v>
      </c>
      <c r="DV70" t="s">
        <v>120</v>
      </c>
      <c r="DW70" t="s">
        <v>120</v>
      </c>
      <c r="DX70">
        <v>1</v>
      </c>
      <c r="EE70">
        <v>33409561</v>
      </c>
      <c r="EF70">
        <v>2</v>
      </c>
      <c r="EG70" t="s">
        <v>19</v>
      </c>
      <c r="EH70">
        <v>0</v>
      </c>
      <c r="EI70" t="s">
        <v>3</v>
      </c>
      <c r="EJ70">
        <v>1</v>
      </c>
      <c r="EK70">
        <v>47001</v>
      </c>
      <c r="EL70" t="s">
        <v>115</v>
      </c>
      <c r="EM70" t="s">
        <v>116</v>
      </c>
      <c r="EO70" t="s">
        <v>3</v>
      </c>
      <c r="EQ70">
        <v>0</v>
      </c>
      <c r="ER70">
        <v>8.66</v>
      </c>
      <c r="ES70">
        <v>8.66</v>
      </c>
      <c r="ET70">
        <v>0</v>
      </c>
      <c r="EU70">
        <v>0</v>
      </c>
      <c r="EV70">
        <v>0</v>
      </c>
      <c r="EW70">
        <v>0</v>
      </c>
      <c r="EX70">
        <v>0</v>
      </c>
      <c r="FQ70">
        <v>0</v>
      </c>
      <c r="FR70">
        <f t="shared" si="39"/>
        <v>0</v>
      </c>
      <c r="FS70">
        <v>0</v>
      </c>
      <c r="FV70" t="s">
        <v>22</v>
      </c>
      <c r="FW70" t="s">
        <v>23</v>
      </c>
      <c r="FX70">
        <v>115</v>
      </c>
      <c r="FY70">
        <v>90</v>
      </c>
      <c r="GA70" t="s">
        <v>3</v>
      </c>
      <c r="GD70">
        <v>0</v>
      </c>
      <c r="GF70">
        <v>1546738769</v>
      </c>
      <c r="GG70">
        <v>2</v>
      </c>
      <c r="GH70">
        <v>1</v>
      </c>
      <c r="GI70">
        <v>2</v>
      </c>
      <c r="GJ70">
        <v>0</v>
      </c>
      <c r="GK70">
        <f>ROUND(R70*(R12)/100,2)</f>
        <v>0</v>
      </c>
      <c r="GL70">
        <f t="shared" si="40"/>
        <v>0</v>
      </c>
      <c r="GM70">
        <f>ROUND(O70+X70+Y70+GK70,2)+GX70</f>
        <v>706.83</v>
      </c>
      <c r="GN70">
        <f>IF(OR(BI70=0,BI70=1),ROUND(O70+X70+Y70+GK70,2),0)</f>
        <v>706.83</v>
      </c>
      <c r="GO70">
        <f>IF(BI70=2,ROUND(O70+X70+Y70+GK70,2),0)</f>
        <v>0</v>
      </c>
      <c r="GP70">
        <f>IF(BI70=4,ROUND(O70+X70+Y70+GK70,2)+GX70,0)</f>
        <v>0</v>
      </c>
      <c r="GR70">
        <v>0</v>
      </c>
      <c r="GS70">
        <v>3</v>
      </c>
      <c r="GT70">
        <v>0</v>
      </c>
      <c r="GU70" t="s">
        <v>3</v>
      </c>
      <c r="GV70">
        <f>ROUND(GT70,2)</f>
        <v>0</v>
      </c>
      <c r="GW70">
        <v>1</v>
      </c>
      <c r="GX70">
        <f t="shared" si="41"/>
        <v>0</v>
      </c>
      <c r="HA70">
        <v>0</v>
      </c>
      <c r="HB70">
        <v>0</v>
      </c>
      <c r="IK70">
        <v>0</v>
      </c>
    </row>
    <row r="71" spans="1:245" x14ac:dyDescent="0.2">
      <c r="A71">
        <v>17</v>
      </c>
      <c r="B71">
        <v>1</v>
      </c>
      <c r="E71" t="s">
        <v>122</v>
      </c>
      <c r="F71" t="s">
        <v>123</v>
      </c>
      <c r="G71" t="s">
        <v>124</v>
      </c>
      <c r="H71" t="s">
        <v>36</v>
      </c>
      <c r="I71">
        <f>ROUND(540.32,2)</f>
        <v>540.32000000000005</v>
      </c>
      <c r="J71">
        <v>0</v>
      </c>
      <c r="O71">
        <f>0</f>
        <v>0</v>
      </c>
      <c r="P71">
        <f>0</f>
        <v>0</v>
      </c>
      <c r="Q71">
        <f>0</f>
        <v>0</v>
      </c>
      <c r="R71">
        <f>0</f>
        <v>0</v>
      </c>
      <c r="S71">
        <f>0</f>
        <v>0</v>
      </c>
      <c r="T71">
        <f>0</f>
        <v>0</v>
      </c>
      <c r="U71">
        <f>0</f>
        <v>0</v>
      </c>
      <c r="V71">
        <f>0</f>
        <v>0</v>
      </c>
      <c r="W71">
        <f>0</f>
        <v>0</v>
      </c>
      <c r="X71">
        <f>0</f>
        <v>0</v>
      </c>
      <c r="Y71">
        <f>0</f>
        <v>0</v>
      </c>
      <c r="AA71">
        <v>35026474</v>
      </c>
      <c r="AB71">
        <f>ROUND((AK71),2)</f>
        <v>3.96</v>
      </c>
      <c r="AC71">
        <f>0</f>
        <v>0</v>
      </c>
      <c r="AD71">
        <f>0</f>
        <v>0</v>
      </c>
      <c r="AE71">
        <f>0</f>
        <v>0</v>
      </c>
      <c r="AF71">
        <f>0</f>
        <v>0</v>
      </c>
      <c r="AG71">
        <f>0</f>
        <v>0</v>
      </c>
      <c r="AH71">
        <f>0</f>
        <v>0</v>
      </c>
      <c r="AI71">
        <f>0</f>
        <v>0</v>
      </c>
      <c r="AJ71">
        <f>0</f>
        <v>0</v>
      </c>
      <c r="AK71">
        <v>3.96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10.3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1</v>
      </c>
      <c r="BJ71" t="s">
        <v>125</v>
      </c>
      <c r="BM71">
        <v>700004</v>
      </c>
      <c r="BN71">
        <v>0</v>
      </c>
      <c r="BO71" t="s">
        <v>123</v>
      </c>
      <c r="BP71">
        <v>1</v>
      </c>
      <c r="BQ71">
        <v>19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0</v>
      </c>
      <c r="CA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AB71*AZ71</f>
        <v>40.788000000000004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36</v>
      </c>
      <c r="DW71" t="s">
        <v>36</v>
      </c>
      <c r="DX71">
        <v>1</v>
      </c>
      <c r="EE71">
        <v>33409680</v>
      </c>
      <c r="EF71">
        <v>19</v>
      </c>
      <c r="EG71" t="s">
        <v>38</v>
      </c>
      <c r="EH71">
        <v>0</v>
      </c>
      <c r="EI71" t="s">
        <v>3</v>
      </c>
      <c r="EJ71">
        <v>1</v>
      </c>
      <c r="EK71">
        <v>700004</v>
      </c>
      <c r="EL71" t="s">
        <v>39</v>
      </c>
      <c r="EM71" t="s">
        <v>40</v>
      </c>
      <c r="EO71" t="s">
        <v>3</v>
      </c>
      <c r="EQ71">
        <v>131072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 t="shared" si="39"/>
        <v>0</v>
      </c>
      <c r="FS71">
        <v>0</v>
      </c>
      <c r="FX71">
        <v>0</v>
      </c>
      <c r="FY71">
        <v>0</v>
      </c>
      <c r="GA71" t="s">
        <v>3</v>
      </c>
      <c r="GD71">
        <v>0</v>
      </c>
      <c r="GF71">
        <v>27595955</v>
      </c>
      <c r="GG71">
        <v>2</v>
      </c>
      <c r="GH71">
        <v>1</v>
      </c>
      <c r="GI71">
        <v>2</v>
      </c>
      <c r="GJ71">
        <v>2</v>
      </c>
      <c r="GK71">
        <f>ROUND(R71*(R12)/100,2)</f>
        <v>0</v>
      </c>
      <c r="GL71">
        <f t="shared" si="40"/>
        <v>0</v>
      </c>
      <c r="GM71">
        <f>ROUND(CP71*I71,2)</f>
        <v>22038.57</v>
      </c>
      <c r="GN71">
        <f>IF(OR(BI71=0,BI71=1),ROUND(CP71*I71,2),0)</f>
        <v>22038.57</v>
      </c>
      <c r="GO71">
        <f>IF(BI71=2,ROUND(CP71*I71,2),0)</f>
        <v>0</v>
      </c>
      <c r="GP71">
        <f>IF(BI71=4,ROUND(CP71*I71,2)+GX71,0)</f>
        <v>0</v>
      </c>
      <c r="GR71">
        <v>0</v>
      </c>
      <c r="GS71">
        <v>3</v>
      </c>
      <c r="GU71" t="s">
        <v>3</v>
      </c>
      <c r="GV71">
        <f>0</f>
        <v>0</v>
      </c>
      <c r="GW71">
        <v>1</v>
      </c>
      <c r="GX71">
        <f t="shared" si="41"/>
        <v>0</v>
      </c>
      <c r="GY71">
        <v>0</v>
      </c>
      <c r="GZ71">
        <v>0</v>
      </c>
      <c r="HA71">
        <v>0</v>
      </c>
      <c r="HB71">
        <v>0</v>
      </c>
      <c r="IK71">
        <v>0</v>
      </c>
    </row>
    <row r="72" spans="1:245" x14ac:dyDescent="0.2">
      <c r="A72">
        <v>17</v>
      </c>
      <c r="B72">
        <v>1</v>
      </c>
      <c r="E72" t="s">
        <v>126</v>
      </c>
      <c r="F72" t="s">
        <v>42</v>
      </c>
      <c r="G72" t="s">
        <v>43</v>
      </c>
      <c r="H72" t="s">
        <v>36</v>
      </c>
      <c r="I72">
        <f>ROUND(540.32,2)</f>
        <v>540.32000000000005</v>
      </c>
      <c r="J72">
        <v>0</v>
      </c>
      <c r="O72">
        <f>0</f>
        <v>0</v>
      </c>
      <c r="P72">
        <f>0</f>
        <v>0</v>
      </c>
      <c r="Q72">
        <f>0</f>
        <v>0</v>
      </c>
      <c r="R72">
        <f>0</f>
        <v>0</v>
      </c>
      <c r="S72">
        <f>0</f>
        <v>0</v>
      </c>
      <c r="T72">
        <f>0</f>
        <v>0</v>
      </c>
      <c r="U72">
        <f>0</f>
        <v>0</v>
      </c>
      <c r="V72">
        <f>0</f>
        <v>0</v>
      </c>
      <c r="W72">
        <f>0</f>
        <v>0</v>
      </c>
      <c r="X72">
        <f>0</f>
        <v>0</v>
      </c>
      <c r="Y72">
        <f>0</f>
        <v>0</v>
      </c>
      <c r="AA72">
        <v>35026474</v>
      </c>
      <c r="AB72">
        <f>ROUND((AK72),2)</f>
        <v>29.92</v>
      </c>
      <c r="AC72">
        <f>0</f>
        <v>0</v>
      </c>
      <c r="AD72">
        <f>0</f>
        <v>0</v>
      </c>
      <c r="AE72">
        <f>0</f>
        <v>0</v>
      </c>
      <c r="AF72">
        <f>0</f>
        <v>0</v>
      </c>
      <c r="AG72">
        <f>0</f>
        <v>0</v>
      </c>
      <c r="AH72">
        <f>0</f>
        <v>0</v>
      </c>
      <c r="AI72">
        <f>0</f>
        <v>0</v>
      </c>
      <c r="AJ72">
        <f>0</f>
        <v>0</v>
      </c>
      <c r="AK72">
        <v>29.92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7.48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44</v>
      </c>
      <c r="BM72">
        <v>700005</v>
      </c>
      <c r="BN72">
        <v>0</v>
      </c>
      <c r="BO72" t="s">
        <v>42</v>
      </c>
      <c r="BP72">
        <v>1</v>
      </c>
      <c r="BQ72">
        <v>10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>AB72*AZ72</f>
        <v>223.80160000000004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36</v>
      </c>
      <c r="DW72" t="s">
        <v>36</v>
      </c>
      <c r="DX72">
        <v>1</v>
      </c>
      <c r="EE72">
        <v>33409684</v>
      </c>
      <c r="EF72">
        <v>10</v>
      </c>
      <c r="EG72" t="s">
        <v>45</v>
      </c>
      <c r="EH72">
        <v>0</v>
      </c>
      <c r="EI72" t="s">
        <v>3</v>
      </c>
      <c r="EJ72">
        <v>1</v>
      </c>
      <c r="EK72">
        <v>700005</v>
      </c>
      <c r="EL72" t="s">
        <v>46</v>
      </c>
      <c r="EM72" t="s">
        <v>47</v>
      </c>
      <c r="EO72" t="s">
        <v>3</v>
      </c>
      <c r="EQ72">
        <v>131072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 t="shared" si="39"/>
        <v>0</v>
      </c>
      <c r="FS72">
        <v>0</v>
      </c>
      <c r="FX72">
        <v>0</v>
      </c>
      <c r="FY72">
        <v>0</v>
      </c>
      <c r="GA72" t="s">
        <v>3</v>
      </c>
      <c r="GD72">
        <v>0</v>
      </c>
      <c r="GF72">
        <v>833515714</v>
      </c>
      <c r="GG72">
        <v>2</v>
      </c>
      <c r="GH72">
        <v>1</v>
      </c>
      <c r="GI72">
        <v>2</v>
      </c>
      <c r="GJ72">
        <v>2</v>
      </c>
      <c r="GK72">
        <f>ROUND(R72*(R12)/100,2)</f>
        <v>0</v>
      </c>
      <c r="GL72">
        <f t="shared" si="40"/>
        <v>0</v>
      </c>
      <c r="GM72">
        <f>ROUND(CP72*I72,2)</f>
        <v>120924.48</v>
      </c>
      <c r="GN72">
        <f>IF(OR(BI72=0,BI72=1),ROUND(CP72*I72,2),0)</f>
        <v>120924.48</v>
      </c>
      <c r="GO72">
        <f>IF(BI72=2,ROUND(CP72*I72,2),0)</f>
        <v>0</v>
      </c>
      <c r="GP72">
        <f>IF(BI72=4,ROUND(CP72*I72,2)+GX72,0)</f>
        <v>0</v>
      </c>
      <c r="GR72">
        <v>0</v>
      </c>
      <c r="GS72">
        <v>3</v>
      </c>
      <c r="GU72" t="s">
        <v>3</v>
      </c>
      <c r="GV72">
        <f>0</f>
        <v>0</v>
      </c>
      <c r="GW72">
        <v>1</v>
      </c>
      <c r="GX72">
        <f t="shared" si="41"/>
        <v>0</v>
      </c>
      <c r="GY72">
        <v>0</v>
      </c>
      <c r="GZ72">
        <v>0</v>
      </c>
      <c r="HA72">
        <v>0</v>
      </c>
      <c r="HB72">
        <v>0</v>
      </c>
      <c r="IK72">
        <v>0</v>
      </c>
    </row>
    <row r="73" spans="1:245" x14ac:dyDescent="0.2">
      <c r="A73">
        <v>17</v>
      </c>
      <c r="B73">
        <v>1</v>
      </c>
      <c r="E73" t="s">
        <v>127</v>
      </c>
      <c r="F73" t="s">
        <v>49</v>
      </c>
      <c r="G73" t="s">
        <v>300</v>
      </c>
      <c r="H73" t="s">
        <v>128</v>
      </c>
      <c r="I73">
        <f>ROUND(337.7,2)</f>
        <v>337.7</v>
      </c>
      <c r="J73">
        <v>0</v>
      </c>
      <c r="O73">
        <f t="shared" ref="O73:O84" si="42">ROUND(CP73,2)</f>
        <v>30396.34</v>
      </c>
      <c r="P73">
        <f t="shared" ref="P73:P84" si="43">ROUND(CQ73*I73,2)</f>
        <v>30396.34</v>
      </c>
      <c r="Q73">
        <f t="shared" ref="Q73:Q84" si="44">ROUND(CR73*I73,2)</f>
        <v>0</v>
      </c>
      <c r="R73">
        <f t="shared" ref="R73:R84" si="45">ROUND(CS73*I73,2)</f>
        <v>0</v>
      </c>
      <c r="S73">
        <f t="shared" ref="S73:S84" si="46">ROUND(CT73*I73,2)</f>
        <v>0</v>
      </c>
      <c r="T73">
        <f t="shared" ref="T73:T84" si="47">ROUND(CU73*I73,2)</f>
        <v>0</v>
      </c>
      <c r="U73">
        <f t="shared" ref="U73:U84" si="48">CV73*I73</f>
        <v>0</v>
      </c>
      <c r="V73">
        <f t="shared" ref="V73:V84" si="49">CW73*I73</f>
        <v>0</v>
      </c>
      <c r="W73">
        <f t="shared" ref="W73:W84" si="50">ROUND(CX73*I73,2)</f>
        <v>0</v>
      </c>
      <c r="X73">
        <f t="shared" ref="X73:X84" si="51">ROUND(CY73,2)</f>
        <v>0</v>
      </c>
      <c r="Y73">
        <f t="shared" ref="Y73:Y84" si="52">ROUND(CZ73,2)</f>
        <v>0</v>
      </c>
      <c r="AA73">
        <v>35026474</v>
      </c>
      <c r="AB73">
        <f t="shared" ref="AB73:AB84" si="53">ROUND((AC73+AD73+AF73),2)</f>
        <v>9.01</v>
      </c>
      <c r="AC73">
        <f t="shared" ref="AC73:AC84" si="54">ROUND((ES73),2)</f>
        <v>9.01</v>
      </c>
      <c r="AD73">
        <f t="shared" ref="AD73:AD84" si="55">ROUND((((ET73)-(EU73))+AE73),2)</f>
        <v>0</v>
      </c>
      <c r="AE73">
        <f t="shared" ref="AE73:AE84" si="56">ROUND((EU73),2)</f>
        <v>0</v>
      </c>
      <c r="AF73">
        <f t="shared" ref="AF73:AF84" si="57">ROUND((EV73),2)</f>
        <v>0</v>
      </c>
      <c r="AG73">
        <f t="shared" ref="AG73:AG84" si="58">ROUND((AP73),2)</f>
        <v>0</v>
      </c>
      <c r="AH73">
        <f t="shared" ref="AH73:AH84" si="59">(EW73)</f>
        <v>0</v>
      </c>
      <c r="AI73">
        <f t="shared" ref="AI73:AI84" si="60">(EX73)</f>
        <v>0</v>
      </c>
      <c r="AJ73">
        <f t="shared" ref="AJ73:AJ84" si="61">ROUND((AS73),2)</f>
        <v>0</v>
      </c>
      <c r="AK73">
        <v>9.01</v>
      </c>
      <c r="AL73">
        <v>9.01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9.99</v>
      </c>
      <c r="BB73">
        <v>9.99</v>
      </c>
      <c r="BC73">
        <v>9.99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4</v>
      </c>
      <c r="BJ73" t="s">
        <v>3</v>
      </c>
      <c r="BM73">
        <v>0</v>
      </c>
      <c r="BN73">
        <v>0</v>
      </c>
      <c r="BO73" t="s">
        <v>3</v>
      </c>
      <c r="BP73">
        <v>0</v>
      </c>
      <c r="BQ73">
        <v>16</v>
      </c>
      <c r="BR73">
        <v>0</v>
      </c>
      <c r="BS73">
        <v>9.99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ref="CP73:CP84" si="62">(P73+Q73+S73)</f>
        <v>30396.34</v>
      </c>
      <c r="CQ73">
        <f t="shared" ref="CQ73:CQ84" si="63">AC73*BC73</f>
        <v>90.009900000000002</v>
      </c>
      <c r="CR73">
        <f t="shared" ref="CR73:CR84" si="64">AD73*BB73</f>
        <v>0</v>
      </c>
      <c r="CS73">
        <f t="shared" ref="CS73:CS84" si="65">AE73*BS73</f>
        <v>0</v>
      </c>
      <c r="CT73">
        <f t="shared" ref="CT73:CT84" si="66">AF73*BA73</f>
        <v>0</v>
      </c>
      <c r="CU73">
        <f t="shared" ref="CU73:CU84" si="67">AG73</f>
        <v>0</v>
      </c>
      <c r="CV73">
        <f t="shared" ref="CV73:CV84" si="68">AH73</f>
        <v>0</v>
      </c>
      <c r="CW73">
        <f t="shared" ref="CW73:CW84" si="69">AI73</f>
        <v>0</v>
      </c>
      <c r="CX73">
        <f t="shared" ref="CX73:CX84" si="70">AJ73</f>
        <v>0</v>
      </c>
      <c r="CY73">
        <f t="shared" ref="CY73:CY84" si="71">(((S73+R73)*AT73)/100)</f>
        <v>0</v>
      </c>
      <c r="CZ73">
        <f t="shared" ref="CZ73:CZ84" si="72">(((S73+R73)*AU73)/100)</f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1007</v>
      </c>
      <c r="DV73" t="s">
        <v>128</v>
      </c>
      <c r="DW73" t="s">
        <v>128</v>
      </c>
      <c r="DX73">
        <v>1</v>
      </c>
      <c r="EE73">
        <v>33409433</v>
      </c>
      <c r="EF73">
        <v>16</v>
      </c>
      <c r="EG73" t="s">
        <v>51</v>
      </c>
      <c r="EH73">
        <v>0</v>
      </c>
      <c r="EI73" t="s">
        <v>3</v>
      </c>
      <c r="EJ73">
        <v>4</v>
      </c>
      <c r="EK73">
        <v>0</v>
      </c>
      <c r="EL73" t="s">
        <v>52</v>
      </c>
      <c r="EM73" t="s">
        <v>53</v>
      </c>
      <c r="EO73" t="s">
        <v>3</v>
      </c>
      <c r="EQ73">
        <v>131072</v>
      </c>
      <c r="ER73">
        <v>9.01</v>
      </c>
      <c r="ES73">
        <v>9.01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5</v>
      </c>
      <c r="FC73">
        <v>1</v>
      </c>
      <c r="FD73">
        <v>18</v>
      </c>
      <c r="FF73">
        <v>94</v>
      </c>
      <c r="FQ73">
        <v>0</v>
      </c>
      <c r="FR73">
        <f t="shared" si="39"/>
        <v>0</v>
      </c>
      <c r="FS73">
        <v>0</v>
      </c>
      <c r="FV73" t="s">
        <v>22</v>
      </c>
      <c r="FW73" t="s">
        <v>23</v>
      </c>
      <c r="FX73">
        <v>0</v>
      </c>
      <c r="FY73">
        <v>0</v>
      </c>
      <c r="GA73" t="s">
        <v>129</v>
      </c>
      <c r="GD73">
        <v>0</v>
      </c>
      <c r="GF73">
        <v>1438266847</v>
      </c>
      <c r="GG73">
        <v>2</v>
      </c>
      <c r="GH73">
        <v>3</v>
      </c>
      <c r="GI73">
        <v>3</v>
      </c>
      <c r="GJ73">
        <v>0</v>
      </c>
      <c r="GK73">
        <f>ROUND(R73*(R12)/100,2)</f>
        <v>0</v>
      </c>
      <c r="GL73">
        <f t="shared" si="40"/>
        <v>0</v>
      </c>
      <c r="GM73">
        <f t="shared" ref="GM73:GM84" si="73">ROUND(O73+X73+Y73+GK73,2)+GX73</f>
        <v>30396.34</v>
      </c>
      <c r="GN73">
        <f t="shared" ref="GN73:GN84" si="74">IF(OR(BI73=0,BI73=1),ROUND(O73+X73+Y73+GK73,2),0)</f>
        <v>0</v>
      </c>
      <c r="GO73">
        <f t="shared" ref="GO73:GO84" si="75">IF(BI73=2,ROUND(O73+X73+Y73+GK73,2),0)</f>
        <v>0</v>
      </c>
      <c r="GP73">
        <f t="shared" ref="GP73:GP84" si="76">IF(BI73=4,ROUND(O73+X73+Y73+GK73,2)+GX73,0)</f>
        <v>30396.34</v>
      </c>
      <c r="GR73">
        <v>1</v>
      </c>
      <c r="GS73">
        <v>1</v>
      </c>
      <c r="GT73">
        <v>0</v>
      </c>
      <c r="GU73" t="s">
        <v>3</v>
      </c>
      <c r="GV73">
        <f t="shared" ref="GV73:GV84" si="77">ROUND(GT73,2)</f>
        <v>0</v>
      </c>
      <c r="GW73">
        <v>1</v>
      </c>
      <c r="GX73">
        <f t="shared" si="41"/>
        <v>0</v>
      </c>
      <c r="HA73">
        <v>0</v>
      </c>
      <c r="HB73">
        <v>0</v>
      </c>
      <c r="IK73">
        <v>0</v>
      </c>
    </row>
    <row r="74" spans="1:245" x14ac:dyDescent="0.2">
      <c r="A74">
        <v>17</v>
      </c>
      <c r="B74">
        <v>1</v>
      </c>
      <c r="C74">
        <f>ROW(SmtRes!A25)</f>
        <v>25</v>
      </c>
      <c r="D74">
        <f>ROW(EtalonRes!A24)</f>
        <v>24</v>
      </c>
      <c r="E74" t="s">
        <v>130</v>
      </c>
      <c r="F74" t="s">
        <v>131</v>
      </c>
      <c r="G74" t="s">
        <v>132</v>
      </c>
      <c r="H74" t="s">
        <v>113</v>
      </c>
      <c r="I74">
        <f>ROUND(110/10,9)</f>
        <v>11</v>
      </c>
      <c r="J74">
        <v>0</v>
      </c>
      <c r="O74">
        <f t="shared" si="42"/>
        <v>153798.51999999999</v>
      </c>
      <c r="P74">
        <f t="shared" si="43"/>
        <v>13632.55</v>
      </c>
      <c r="Q74">
        <f t="shared" si="44"/>
        <v>27370.799999999999</v>
      </c>
      <c r="R74">
        <f t="shared" si="45"/>
        <v>11215.78</v>
      </c>
      <c r="S74">
        <f t="shared" si="46"/>
        <v>112795.17</v>
      </c>
      <c r="T74">
        <f t="shared" si="47"/>
        <v>0</v>
      </c>
      <c r="U74">
        <f t="shared" si="48"/>
        <v>473.54999999999995</v>
      </c>
      <c r="V74">
        <f t="shared" si="49"/>
        <v>35.75</v>
      </c>
      <c r="W74">
        <f t="shared" si="50"/>
        <v>0</v>
      </c>
      <c r="X74">
        <f t="shared" si="51"/>
        <v>121530.73</v>
      </c>
      <c r="Y74">
        <f t="shared" si="52"/>
        <v>89287.88</v>
      </c>
      <c r="AA74">
        <v>35026474</v>
      </c>
      <c r="AB74">
        <f t="shared" si="53"/>
        <v>1191.1600000000001</v>
      </c>
      <c r="AC74">
        <f t="shared" si="54"/>
        <v>415.88</v>
      </c>
      <c r="AD74">
        <f t="shared" si="55"/>
        <v>361.14</v>
      </c>
      <c r="AE74">
        <f t="shared" si="56"/>
        <v>41.18</v>
      </c>
      <c r="AF74">
        <f t="shared" si="57"/>
        <v>414.14</v>
      </c>
      <c r="AG74">
        <f t="shared" si="58"/>
        <v>0</v>
      </c>
      <c r="AH74">
        <f t="shared" si="59"/>
        <v>43.05</v>
      </c>
      <c r="AI74">
        <f t="shared" si="60"/>
        <v>3.25</v>
      </c>
      <c r="AJ74">
        <f t="shared" si="61"/>
        <v>0</v>
      </c>
      <c r="AK74">
        <v>1191.1600000000001</v>
      </c>
      <c r="AL74">
        <v>415.88</v>
      </c>
      <c r="AM74">
        <v>361.14</v>
      </c>
      <c r="AN74">
        <v>41.18</v>
      </c>
      <c r="AO74">
        <v>414.14</v>
      </c>
      <c r="AP74">
        <v>0</v>
      </c>
      <c r="AQ74">
        <v>43.05</v>
      </c>
      <c r="AR74">
        <v>3.25</v>
      </c>
      <c r="AS74">
        <v>0</v>
      </c>
      <c r="AT74">
        <v>98</v>
      </c>
      <c r="AU74">
        <v>72</v>
      </c>
      <c r="AV74">
        <v>1</v>
      </c>
      <c r="AW74">
        <v>1</v>
      </c>
      <c r="AZ74">
        <v>1</v>
      </c>
      <c r="BA74">
        <v>24.76</v>
      </c>
      <c r="BB74">
        <v>6.89</v>
      </c>
      <c r="BC74">
        <v>2.98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133</v>
      </c>
      <c r="BM74">
        <v>47001</v>
      </c>
      <c r="BN74">
        <v>0</v>
      </c>
      <c r="BO74" t="s">
        <v>3</v>
      </c>
      <c r="BP74">
        <v>0</v>
      </c>
      <c r="BQ74">
        <v>2</v>
      </c>
      <c r="BR74">
        <v>0</v>
      </c>
      <c r="BS74">
        <v>24.76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115</v>
      </c>
      <c r="CA74">
        <v>90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62"/>
        <v>153798.51999999999</v>
      </c>
      <c r="CQ74">
        <f t="shared" si="63"/>
        <v>1239.3224</v>
      </c>
      <c r="CR74">
        <f t="shared" si="64"/>
        <v>2488.2545999999998</v>
      </c>
      <c r="CS74">
        <f t="shared" si="65"/>
        <v>1019.6168</v>
      </c>
      <c r="CT74">
        <f t="shared" si="66"/>
        <v>10254.106400000001</v>
      </c>
      <c r="CU74">
        <f t="shared" si="67"/>
        <v>0</v>
      </c>
      <c r="CV74">
        <f t="shared" si="68"/>
        <v>43.05</v>
      </c>
      <c r="CW74">
        <f t="shared" si="69"/>
        <v>3.25</v>
      </c>
      <c r="CX74">
        <f t="shared" si="70"/>
        <v>0</v>
      </c>
      <c r="CY74">
        <f t="shared" si="71"/>
        <v>121530.731</v>
      </c>
      <c r="CZ74">
        <f t="shared" si="72"/>
        <v>89287.884000000005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113</v>
      </c>
      <c r="DW74" t="s">
        <v>113</v>
      </c>
      <c r="DX74">
        <v>1</v>
      </c>
      <c r="EE74">
        <v>33409561</v>
      </c>
      <c r="EF74">
        <v>2</v>
      </c>
      <c r="EG74" t="s">
        <v>19</v>
      </c>
      <c r="EH74">
        <v>0</v>
      </c>
      <c r="EI74" t="s">
        <v>3</v>
      </c>
      <c r="EJ74">
        <v>1</v>
      </c>
      <c r="EK74">
        <v>47001</v>
      </c>
      <c r="EL74" t="s">
        <v>115</v>
      </c>
      <c r="EM74" t="s">
        <v>116</v>
      </c>
      <c r="EO74" t="s">
        <v>3</v>
      </c>
      <c r="EQ74">
        <v>131072</v>
      </c>
      <c r="ER74">
        <v>1191.1600000000001</v>
      </c>
      <c r="ES74">
        <v>415.88</v>
      </c>
      <c r="ET74">
        <v>361.14</v>
      </c>
      <c r="EU74">
        <v>41.18</v>
      </c>
      <c r="EV74">
        <v>414.14</v>
      </c>
      <c r="EW74">
        <v>43.05</v>
      </c>
      <c r="EX74">
        <v>3.25</v>
      </c>
      <c r="EY74">
        <v>0</v>
      </c>
      <c r="FQ74">
        <v>0</v>
      </c>
      <c r="FR74">
        <f t="shared" si="39"/>
        <v>0</v>
      </c>
      <c r="FS74">
        <v>0</v>
      </c>
      <c r="FV74" t="s">
        <v>22</v>
      </c>
      <c r="FW74" t="s">
        <v>23</v>
      </c>
      <c r="FX74">
        <v>115</v>
      </c>
      <c r="FY74">
        <v>90</v>
      </c>
      <c r="GA74" t="s">
        <v>3</v>
      </c>
      <c r="GD74">
        <v>0</v>
      </c>
      <c r="GF74">
        <v>1432197409</v>
      </c>
      <c r="GG74">
        <v>2</v>
      </c>
      <c r="GH74">
        <v>1</v>
      </c>
      <c r="GI74">
        <v>3</v>
      </c>
      <c r="GJ74">
        <v>0</v>
      </c>
      <c r="GK74">
        <f>ROUND(R74*(R12)/100,2)</f>
        <v>0</v>
      </c>
      <c r="GL74">
        <f t="shared" si="40"/>
        <v>0</v>
      </c>
      <c r="GM74">
        <f t="shared" si="73"/>
        <v>364617.13</v>
      </c>
      <c r="GN74">
        <f t="shared" si="74"/>
        <v>364617.13</v>
      </c>
      <c r="GO74">
        <f t="shared" si="75"/>
        <v>0</v>
      </c>
      <c r="GP74">
        <f t="shared" si="76"/>
        <v>0</v>
      </c>
      <c r="GR74">
        <v>0</v>
      </c>
      <c r="GS74">
        <v>3</v>
      </c>
      <c r="GT74">
        <v>0</v>
      </c>
      <c r="GU74" t="s">
        <v>3</v>
      </c>
      <c r="GV74">
        <f t="shared" si="77"/>
        <v>0</v>
      </c>
      <c r="GW74">
        <v>1</v>
      </c>
      <c r="GX74">
        <f t="shared" si="41"/>
        <v>0</v>
      </c>
      <c r="HA74">
        <v>0</v>
      </c>
      <c r="HB74">
        <v>0</v>
      </c>
      <c r="IK74">
        <v>0</v>
      </c>
    </row>
    <row r="75" spans="1:245" x14ac:dyDescent="0.2">
      <c r="A75">
        <v>18</v>
      </c>
      <c r="B75">
        <v>1</v>
      </c>
      <c r="C75">
        <v>24</v>
      </c>
      <c r="E75" t="s">
        <v>134</v>
      </c>
      <c r="F75" t="s">
        <v>135</v>
      </c>
      <c r="G75" t="s">
        <v>136</v>
      </c>
      <c r="H75" t="s">
        <v>137</v>
      </c>
      <c r="I75">
        <f>I74*J75</f>
        <v>24</v>
      </c>
      <c r="J75">
        <v>2.1818181818181817</v>
      </c>
      <c r="O75">
        <f t="shared" si="42"/>
        <v>2044289.88</v>
      </c>
      <c r="P75">
        <f t="shared" si="43"/>
        <v>2044289.88</v>
      </c>
      <c r="Q75">
        <f t="shared" si="44"/>
        <v>0</v>
      </c>
      <c r="R75">
        <f t="shared" si="45"/>
        <v>0</v>
      </c>
      <c r="S75">
        <f t="shared" si="46"/>
        <v>0</v>
      </c>
      <c r="T75">
        <f t="shared" si="47"/>
        <v>0</v>
      </c>
      <c r="U75">
        <f t="shared" si="48"/>
        <v>0</v>
      </c>
      <c r="V75">
        <f t="shared" si="49"/>
        <v>0</v>
      </c>
      <c r="W75">
        <f t="shared" si="50"/>
        <v>0</v>
      </c>
      <c r="X75">
        <f t="shared" si="51"/>
        <v>0</v>
      </c>
      <c r="Y75">
        <f t="shared" si="52"/>
        <v>0</v>
      </c>
      <c r="AA75">
        <v>35026474</v>
      </c>
      <c r="AB75">
        <f t="shared" si="53"/>
        <v>11765.02</v>
      </c>
      <c r="AC75">
        <f t="shared" si="54"/>
        <v>11765.02</v>
      </c>
      <c r="AD75">
        <f t="shared" si="55"/>
        <v>0</v>
      </c>
      <c r="AE75">
        <f t="shared" si="56"/>
        <v>0</v>
      </c>
      <c r="AF75">
        <f t="shared" si="57"/>
        <v>0</v>
      </c>
      <c r="AG75">
        <f t="shared" si="58"/>
        <v>0</v>
      </c>
      <c r="AH75">
        <f t="shared" si="59"/>
        <v>0</v>
      </c>
      <c r="AI75">
        <f t="shared" si="60"/>
        <v>0</v>
      </c>
      <c r="AJ75">
        <f t="shared" si="61"/>
        <v>0</v>
      </c>
      <c r="AK75">
        <v>11765.02</v>
      </c>
      <c r="AL75">
        <v>11765.02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98</v>
      </c>
      <c r="AU75">
        <v>72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7.24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1</v>
      </c>
      <c r="BJ75" t="s">
        <v>3</v>
      </c>
      <c r="BM75">
        <v>47001</v>
      </c>
      <c r="BN75">
        <v>0</v>
      </c>
      <c r="BO75" t="s">
        <v>3</v>
      </c>
      <c r="BP75">
        <v>0</v>
      </c>
      <c r="BQ75">
        <v>2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115</v>
      </c>
      <c r="CA75">
        <v>90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62"/>
        <v>2044289.88</v>
      </c>
      <c r="CQ75">
        <f t="shared" si="63"/>
        <v>85178.7448</v>
      </c>
      <c r="CR75">
        <f t="shared" si="64"/>
        <v>0</v>
      </c>
      <c r="CS75">
        <f t="shared" si="65"/>
        <v>0</v>
      </c>
      <c r="CT75">
        <f t="shared" si="66"/>
        <v>0</v>
      </c>
      <c r="CU75">
        <f t="shared" si="67"/>
        <v>0</v>
      </c>
      <c r="CV75">
        <f t="shared" si="68"/>
        <v>0</v>
      </c>
      <c r="CW75">
        <f t="shared" si="69"/>
        <v>0</v>
      </c>
      <c r="CX75">
        <f t="shared" si="70"/>
        <v>0</v>
      </c>
      <c r="CY75">
        <f t="shared" si="71"/>
        <v>0</v>
      </c>
      <c r="CZ75">
        <f t="shared" si="72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137</v>
      </c>
      <c r="DW75" t="s">
        <v>137</v>
      </c>
      <c r="DX75">
        <v>1</v>
      </c>
      <c r="EE75">
        <v>33409561</v>
      </c>
      <c r="EF75">
        <v>2</v>
      </c>
      <c r="EG75" t="s">
        <v>19</v>
      </c>
      <c r="EH75">
        <v>0</v>
      </c>
      <c r="EI75" t="s">
        <v>3</v>
      </c>
      <c r="EJ75">
        <v>1</v>
      </c>
      <c r="EK75">
        <v>47001</v>
      </c>
      <c r="EL75" t="s">
        <v>115</v>
      </c>
      <c r="EM75" t="s">
        <v>116</v>
      </c>
      <c r="EO75" t="s">
        <v>3</v>
      </c>
      <c r="EQ75">
        <v>0</v>
      </c>
      <c r="ER75">
        <v>11765.02</v>
      </c>
      <c r="ES75">
        <v>11765.02</v>
      </c>
      <c r="ET75">
        <v>0</v>
      </c>
      <c r="EU75">
        <v>0</v>
      </c>
      <c r="EV75">
        <v>0</v>
      </c>
      <c r="EW75">
        <v>0</v>
      </c>
      <c r="EX75">
        <v>0</v>
      </c>
      <c r="EZ75">
        <v>5</v>
      </c>
      <c r="FC75">
        <v>0</v>
      </c>
      <c r="FD75">
        <v>18</v>
      </c>
      <c r="FF75">
        <v>81076.27</v>
      </c>
      <c r="FQ75">
        <v>0</v>
      </c>
      <c r="FR75">
        <f t="shared" si="39"/>
        <v>0</v>
      </c>
      <c r="FS75">
        <v>0</v>
      </c>
      <c r="FV75" t="s">
        <v>22</v>
      </c>
      <c r="FW75" t="s">
        <v>23</v>
      </c>
      <c r="FX75">
        <v>115</v>
      </c>
      <c r="FY75">
        <v>90</v>
      </c>
      <c r="GA75" t="s">
        <v>138</v>
      </c>
      <c r="GD75">
        <v>0</v>
      </c>
      <c r="GF75">
        <v>1806329505</v>
      </c>
      <c r="GG75">
        <v>2</v>
      </c>
      <c r="GH75">
        <v>3</v>
      </c>
      <c r="GI75">
        <v>3</v>
      </c>
      <c r="GJ75">
        <v>0</v>
      </c>
      <c r="GK75">
        <f>ROUND(R75*(R12)/100,2)</f>
        <v>0</v>
      </c>
      <c r="GL75">
        <f t="shared" si="40"/>
        <v>0</v>
      </c>
      <c r="GM75">
        <f t="shared" si="73"/>
        <v>2044289.88</v>
      </c>
      <c r="GN75">
        <f t="shared" si="74"/>
        <v>2044289.88</v>
      </c>
      <c r="GO75">
        <f t="shared" si="75"/>
        <v>0</v>
      </c>
      <c r="GP75">
        <f t="shared" si="76"/>
        <v>0</v>
      </c>
      <c r="GR75">
        <v>1</v>
      </c>
      <c r="GS75">
        <v>1</v>
      </c>
      <c r="GT75">
        <v>0</v>
      </c>
      <c r="GU75" t="s">
        <v>3</v>
      </c>
      <c r="GV75">
        <f t="shared" si="77"/>
        <v>0</v>
      </c>
      <c r="GW75">
        <v>1</v>
      </c>
      <c r="GX75">
        <f t="shared" si="41"/>
        <v>0</v>
      </c>
      <c r="HA75">
        <v>0</v>
      </c>
      <c r="HB75">
        <v>0</v>
      </c>
      <c r="IK75">
        <v>0</v>
      </c>
    </row>
    <row r="76" spans="1:245" x14ac:dyDescent="0.2">
      <c r="A76">
        <v>18</v>
      </c>
      <c r="B76">
        <v>1</v>
      </c>
      <c r="C76">
        <v>25</v>
      </c>
      <c r="E76" t="s">
        <v>139</v>
      </c>
      <c r="F76" t="s">
        <v>140</v>
      </c>
      <c r="G76" t="s">
        <v>141</v>
      </c>
      <c r="H76" t="s">
        <v>137</v>
      </c>
      <c r="I76">
        <f>I74*J76</f>
        <v>86</v>
      </c>
      <c r="J76">
        <v>7.8181818181818183</v>
      </c>
      <c r="O76">
        <f t="shared" si="42"/>
        <v>8269468.6299999999</v>
      </c>
      <c r="P76">
        <f t="shared" si="43"/>
        <v>8269468.6299999999</v>
      </c>
      <c r="Q76">
        <f t="shared" si="44"/>
        <v>0</v>
      </c>
      <c r="R76">
        <f t="shared" si="45"/>
        <v>0</v>
      </c>
      <c r="S76">
        <f t="shared" si="46"/>
        <v>0</v>
      </c>
      <c r="T76">
        <f t="shared" si="47"/>
        <v>0</v>
      </c>
      <c r="U76">
        <f t="shared" si="48"/>
        <v>0</v>
      </c>
      <c r="V76">
        <f t="shared" si="49"/>
        <v>0</v>
      </c>
      <c r="W76">
        <f t="shared" si="50"/>
        <v>0</v>
      </c>
      <c r="X76">
        <f t="shared" si="51"/>
        <v>0</v>
      </c>
      <c r="Y76">
        <f t="shared" si="52"/>
        <v>0</v>
      </c>
      <c r="AA76">
        <v>35026474</v>
      </c>
      <c r="AB76">
        <f t="shared" si="53"/>
        <v>13281.3</v>
      </c>
      <c r="AC76">
        <f t="shared" si="54"/>
        <v>13281.3</v>
      </c>
      <c r="AD76">
        <f t="shared" si="55"/>
        <v>0</v>
      </c>
      <c r="AE76">
        <f t="shared" si="56"/>
        <v>0</v>
      </c>
      <c r="AF76">
        <f t="shared" si="57"/>
        <v>0</v>
      </c>
      <c r="AG76">
        <f t="shared" si="58"/>
        <v>0</v>
      </c>
      <c r="AH76">
        <f t="shared" si="59"/>
        <v>0</v>
      </c>
      <c r="AI76">
        <f t="shared" si="60"/>
        <v>0</v>
      </c>
      <c r="AJ76">
        <f t="shared" si="61"/>
        <v>0</v>
      </c>
      <c r="AK76">
        <v>13281.3</v>
      </c>
      <c r="AL76">
        <v>13281.3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98</v>
      </c>
      <c r="AU76">
        <v>72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7.24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1</v>
      </c>
      <c r="BJ76" t="s">
        <v>3</v>
      </c>
      <c r="BM76">
        <v>47001</v>
      </c>
      <c r="BN76">
        <v>0</v>
      </c>
      <c r="BO76" t="s">
        <v>3</v>
      </c>
      <c r="BP76">
        <v>0</v>
      </c>
      <c r="BQ76">
        <v>2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115</v>
      </c>
      <c r="CA76">
        <v>90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62"/>
        <v>8269468.6299999999</v>
      </c>
      <c r="CQ76">
        <f t="shared" si="63"/>
        <v>96156.611999999994</v>
      </c>
      <c r="CR76">
        <f t="shared" si="64"/>
        <v>0</v>
      </c>
      <c r="CS76">
        <f t="shared" si="65"/>
        <v>0</v>
      </c>
      <c r="CT76">
        <f t="shared" si="66"/>
        <v>0</v>
      </c>
      <c r="CU76">
        <f t="shared" si="67"/>
        <v>0</v>
      </c>
      <c r="CV76">
        <f t="shared" si="68"/>
        <v>0</v>
      </c>
      <c r="CW76">
        <f t="shared" si="69"/>
        <v>0</v>
      </c>
      <c r="CX76">
        <f t="shared" si="70"/>
        <v>0</v>
      </c>
      <c r="CY76">
        <f t="shared" si="71"/>
        <v>0</v>
      </c>
      <c r="CZ76">
        <f t="shared" si="72"/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137</v>
      </c>
      <c r="DW76" t="s">
        <v>137</v>
      </c>
      <c r="DX76">
        <v>1</v>
      </c>
      <c r="EE76">
        <v>33409561</v>
      </c>
      <c r="EF76">
        <v>2</v>
      </c>
      <c r="EG76" t="s">
        <v>19</v>
      </c>
      <c r="EH76">
        <v>0</v>
      </c>
      <c r="EI76" t="s">
        <v>3</v>
      </c>
      <c r="EJ76">
        <v>1</v>
      </c>
      <c r="EK76">
        <v>47001</v>
      </c>
      <c r="EL76" t="s">
        <v>115</v>
      </c>
      <c r="EM76" t="s">
        <v>116</v>
      </c>
      <c r="EO76" t="s">
        <v>3</v>
      </c>
      <c r="EQ76">
        <v>0</v>
      </c>
      <c r="ER76">
        <v>13281.3</v>
      </c>
      <c r="ES76">
        <v>13281.3</v>
      </c>
      <c r="ET76">
        <v>0</v>
      </c>
      <c r="EU76">
        <v>0</v>
      </c>
      <c r="EV76">
        <v>0</v>
      </c>
      <c r="EW76">
        <v>0</v>
      </c>
      <c r="EX76">
        <v>0</v>
      </c>
      <c r="EZ76">
        <v>5</v>
      </c>
      <c r="FC76">
        <v>0</v>
      </c>
      <c r="FD76">
        <v>18</v>
      </c>
      <c r="FF76">
        <v>91525.42</v>
      </c>
      <c r="FQ76">
        <v>0</v>
      </c>
      <c r="FR76">
        <f t="shared" si="39"/>
        <v>0</v>
      </c>
      <c r="FS76">
        <v>0</v>
      </c>
      <c r="FV76" t="s">
        <v>22</v>
      </c>
      <c r="FW76" t="s">
        <v>23</v>
      </c>
      <c r="FX76">
        <v>115</v>
      </c>
      <c r="FY76">
        <v>90</v>
      </c>
      <c r="GA76" t="s">
        <v>142</v>
      </c>
      <c r="GD76">
        <v>0</v>
      </c>
      <c r="GF76">
        <v>-1305323175</v>
      </c>
      <c r="GG76">
        <v>2</v>
      </c>
      <c r="GH76">
        <v>3</v>
      </c>
      <c r="GI76">
        <v>3</v>
      </c>
      <c r="GJ76">
        <v>0</v>
      </c>
      <c r="GK76">
        <f>ROUND(R76*(R12)/100,2)</f>
        <v>0</v>
      </c>
      <c r="GL76">
        <f t="shared" si="40"/>
        <v>0</v>
      </c>
      <c r="GM76">
        <f t="shared" si="73"/>
        <v>8269468.6299999999</v>
      </c>
      <c r="GN76">
        <f t="shared" si="74"/>
        <v>8269468.6299999999</v>
      </c>
      <c r="GO76">
        <f t="shared" si="75"/>
        <v>0</v>
      </c>
      <c r="GP76">
        <f t="shared" si="76"/>
        <v>0</v>
      </c>
      <c r="GR76">
        <v>1</v>
      </c>
      <c r="GS76">
        <v>1</v>
      </c>
      <c r="GT76">
        <v>0</v>
      </c>
      <c r="GU76" t="s">
        <v>3</v>
      </c>
      <c r="GV76">
        <f t="shared" si="77"/>
        <v>0</v>
      </c>
      <c r="GW76">
        <v>1</v>
      </c>
      <c r="GX76">
        <f t="shared" si="41"/>
        <v>0</v>
      </c>
      <c r="HA76">
        <v>0</v>
      </c>
      <c r="HB76">
        <v>0</v>
      </c>
      <c r="IK76">
        <v>0</v>
      </c>
    </row>
    <row r="77" spans="1:245" x14ac:dyDescent="0.2">
      <c r="A77">
        <v>17</v>
      </c>
      <c r="B77">
        <v>1</v>
      </c>
      <c r="C77">
        <f>ROW(SmtRes!A30)</f>
        <v>30</v>
      </c>
      <c r="D77">
        <f>ROW(EtalonRes!A29)</f>
        <v>29</v>
      </c>
      <c r="E77" t="s">
        <v>143</v>
      </c>
      <c r="F77" t="s">
        <v>144</v>
      </c>
      <c r="G77" t="s">
        <v>145</v>
      </c>
      <c r="H77" t="s">
        <v>137</v>
      </c>
      <c r="I77">
        <v>96</v>
      </c>
      <c r="J77">
        <v>0</v>
      </c>
      <c r="O77">
        <f t="shared" si="42"/>
        <v>32482.98</v>
      </c>
      <c r="P77">
        <f t="shared" si="43"/>
        <v>298.67</v>
      </c>
      <c r="Q77">
        <f t="shared" si="44"/>
        <v>5277.12</v>
      </c>
      <c r="R77">
        <f t="shared" si="45"/>
        <v>1925.34</v>
      </c>
      <c r="S77">
        <f t="shared" si="46"/>
        <v>26907.19</v>
      </c>
      <c r="T77">
        <f t="shared" si="47"/>
        <v>0</v>
      </c>
      <c r="U77">
        <f t="shared" si="48"/>
        <v>125.76</v>
      </c>
      <c r="V77">
        <f t="shared" si="49"/>
        <v>6.7200000000000006</v>
      </c>
      <c r="W77">
        <f t="shared" si="50"/>
        <v>0</v>
      </c>
      <c r="X77">
        <f t="shared" si="51"/>
        <v>32004.11</v>
      </c>
      <c r="Y77">
        <f t="shared" si="52"/>
        <v>20471.099999999999</v>
      </c>
      <c r="AA77">
        <v>35026474</v>
      </c>
      <c r="AB77">
        <f t="shared" si="53"/>
        <v>16.45</v>
      </c>
      <c r="AC77">
        <f t="shared" si="54"/>
        <v>0.53</v>
      </c>
      <c r="AD77">
        <f t="shared" si="55"/>
        <v>4.5999999999999996</v>
      </c>
      <c r="AE77">
        <f t="shared" si="56"/>
        <v>0.81</v>
      </c>
      <c r="AF77">
        <f t="shared" si="57"/>
        <v>11.32</v>
      </c>
      <c r="AG77">
        <f t="shared" si="58"/>
        <v>0</v>
      </c>
      <c r="AH77">
        <f t="shared" si="59"/>
        <v>1.31</v>
      </c>
      <c r="AI77">
        <f t="shared" si="60"/>
        <v>7.0000000000000007E-2</v>
      </c>
      <c r="AJ77">
        <f t="shared" si="61"/>
        <v>0</v>
      </c>
      <c r="AK77">
        <v>16.45</v>
      </c>
      <c r="AL77">
        <v>0.53</v>
      </c>
      <c r="AM77">
        <v>4.5999999999999996</v>
      </c>
      <c r="AN77">
        <v>0.81</v>
      </c>
      <c r="AO77">
        <v>11.32</v>
      </c>
      <c r="AP77">
        <v>0</v>
      </c>
      <c r="AQ77">
        <v>1.31</v>
      </c>
      <c r="AR77">
        <v>7.0000000000000007E-2</v>
      </c>
      <c r="AS77">
        <v>0</v>
      </c>
      <c r="AT77">
        <v>111</v>
      </c>
      <c r="AU77">
        <v>71</v>
      </c>
      <c r="AV77">
        <v>1</v>
      </c>
      <c r="AW77">
        <v>1</v>
      </c>
      <c r="AZ77">
        <v>1</v>
      </c>
      <c r="BA77">
        <v>24.76</v>
      </c>
      <c r="BB77">
        <v>11.95</v>
      </c>
      <c r="BC77">
        <v>5.87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1</v>
      </c>
      <c r="BJ77" t="s">
        <v>146</v>
      </c>
      <c r="BM77">
        <v>23001</v>
      </c>
      <c r="BN77">
        <v>0</v>
      </c>
      <c r="BO77" t="s">
        <v>144</v>
      </c>
      <c r="BP77">
        <v>1</v>
      </c>
      <c r="BQ77">
        <v>2</v>
      </c>
      <c r="BR77">
        <v>0</v>
      </c>
      <c r="BS77">
        <v>24.76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130</v>
      </c>
      <c r="CA77">
        <v>89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62"/>
        <v>32482.98</v>
      </c>
      <c r="CQ77">
        <f t="shared" si="63"/>
        <v>3.1111000000000004</v>
      </c>
      <c r="CR77">
        <f t="shared" si="64"/>
        <v>54.969999999999992</v>
      </c>
      <c r="CS77">
        <f t="shared" si="65"/>
        <v>20.055600000000002</v>
      </c>
      <c r="CT77">
        <f t="shared" si="66"/>
        <v>280.28320000000002</v>
      </c>
      <c r="CU77">
        <f t="shared" si="67"/>
        <v>0</v>
      </c>
      <c r="CV77">
        <f t="shared" si="68"/>
        <v>1.31</v>
      </c>
      <c r="CW77">
        <f t="shared" si="69"/>
        <v>7.0000000000000007E-2</v>
      </c>
      <c r="CX77">
        <f t="shared" si="70"/>
        <v>0</v>
      </c>
      <c r="CY77">
        <f t="shared" si="71"/>
        <v>32004.1083</v>
      </c>
      <c r="CZ77">
        <f t="shared" si="72"/>
        <v>20471.096299999997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1013</v>
      </c>
      <c r="DV77" t="s">
        <v>137</v>
      </c>
      <c r="DW77" t="s">
        <v>137</v>
      </c>
      <c r="DX77">
        <v>1</v>
      </c>
      <c r="EE77">
        <v>33409526</v>
      </c>
      <c r="EF77">
        <v>2</v>
      </c>
      <c r="EG77" t="s">
        <v>19</v>
      </c>
      <c r="EH77">
        <v>0</v>
      </c>
      <c r="EI77" t="s">
        <v>3</v>
      </c>
      <c r="EJ77">
        <v>1</v>
      </c>
      <c r="EK77">
        <v>23001</v>
      </c>
      <c r="EL77" t="s">
        <v>147</v>
      </c>
      <c r="EM77" t="s">
        <v>148</v>
      </c>
      <c r="EO77" t="s">
        <v>3</v>
      </c>
      <c r="EQ77">
        <v>131072</v>
      </c>
      <c r="ER77">
        <v>16.45</v>
      </c>
      <c r="ES77">
        <v>0.53</v>
      </c>
      <c r="ET77">
        <v>4.5999999999999996</v>
      </c>
      <c r="EU77">
        <v>0.81</v>
      </c>
      <c r="EV77">
        <v>11.32</v>
      </c>
      <c r="EW77">
        <v>1.31</v>
      </c>
      <c r="EX77">
        <v>7.0000000000000007E-2</v>
      </c>
      <c r="EY77">
        <v>0</v>
      </c>
      <c r="FQ77">
        <v>0</v>
      </c>
      <c r="FR77">
        <f t="shared" si="39"/>
        <v>0</v>
      </c>
      <c r="FS77">
        <v>0</v>
      </c>
      <c r="FV77" t="s">
        <v>22</v>
      </c>
      <c r="FW77" t="s">
        <v>23</v>
      </c>
      <c r="FX77">
        <v>130</v>
      </c>
      <c r="FY77">
        <v>89</v>
      </c>
      <c r="GA77" t="s">
        <v>3</v>
      </c>
      <c r="GD77">
        <v>0</v>
      </c>
      <c r="GF77">
        <v>1024282392</v>
      </c>
      <c r="GG77">
        <v>2</v>
      </c>
      <c r="GH77">
        <v>1</v>
      </c>
      <c r="GI77">
        <v>2</v>
      </c>
      <c r="GJ77">
        <v>0</v>
      </c>
      <c r="GK77">
        <f>ROUND(R77*(R12)/100,2)</f>
        <v>0</v>
      </c>
      <c r="GL77">
        <f t="shared" si="40"/>
        <v>0</v>
      </c>
      <c r="GM77">
        <f t="shared" si="73"/>
        <v>84958.19</v>
      </c>
      <c r="GN77">
        <f t="shared" si="74"/>
        <v>84958.19</v>
      </c>
      <c r="GO77">
        <f t="shared" si="75"/>
        <v>0</v>
      </c>
      <c r="GP77">
        <f t="shared" si="76"/>
        <v>0</v>
      </c>
      <c r="GR77">
        <v>0</v>
      </c>
      <c r="GS77">
        <v>3</v>
      </c>
      <c r="GT77">
        <v>0</v>
      </c>
      <c r="GU77" t="s">
        <v>3</v>
      </c>
      <c r="GV77">
        <f t="shared" si="77"/>
        <v>0</v>
      </c>
      <c r="GW77">
        <v>1</v>
      </c>
      <c r="GX77">
        <f t="shared" si="41"/>
        <v>0</v>
      </c>
      <c r="HA77">
        <v>0</v>
      </c>
      <c r="HB77">
        <v>0</v>
      </c>
      <c r="IK77">
        <v>0</v>
      </c>
    </row>
    <row r="78" spans="1:245" x14ac:dyDescent="0.2">
      <c r="A78">
        <v>18</v>
      </c>
      <c r="B78">
        <v>1</v>
      </c>
      <c r="C78">
        <v>29</v>
      </c>
      <c r="E78" t="s">
        <v>149</v>
      </c>
      <c r="F78" t="s">
        <v>150</v>
      </c>
      <c r="G78" t="s">
        <v>151</v>
      </c>
      <c r="H78" t="s">
        <v>128</v>
      </c>
      <c r="I78">
        <f>I77*J78</f>
        <v>-7.6799999999999993E-2</v>
      </c>
      <c r="J78">
        <v>-7.9999999999999993E-4</v>
      </c>
      <c r="O78">
        <f t="shared" si="42"/>
        <v>-298.77</v>
      </c>
      <c r="P78">
        <f t="shared" si="43"/>
        <v>-298.77</v>
      </c>
      <c r="Q78">
        <f t="shared" si="44"/>
        <v>0</v>
      </c>
      <c r="R78">
        <f t="shared" si="45"/>
        <v>0</v>
      </c>
      <c r="S78">
        <f t="shared" si="46"/>
        <v>0</v>
      </c>
      <c r="T78">
        <f t="shared" si="47"/>
        <v>0</v>
      </c>
      <c r="U78">
        <f t="shared" si="48"/>
        <v>0</v>
      </c>
      <c r="V78">
        <f t="shared" si="49"/>
        <v>0</v>
      </c>
      <c r="W78">
        <f t="shared" si="50"/>
        <v>0</v>
      </c>
      <c r="X78">
        <f t="shared" si="51"/>
        <v>0</v>
      </c>
      <c r="Y78">
        <f t="shared" si="52"/>
        <v>0</v>
      </c>
      <c r="AA78">
        <v>35026474</v>
      </c>
      <c r="AB78">
        <f t="shared" si="53"/>
        <v>665</v>
      </c>
      <c r="AC78">
        <f t="shared" si="54"/>
        <v>665</v>
      </c>
      <c r="AD78">
        <f t="shared" si="55"/>
        <v>0</v>
      </c>
      <c r="AE78">
        <f t="shared" si="56"/>
        <v>0</v>
      </c>
      <c r="AF78">
        <f t="shared" si="57"/>
        <v>0</v>
      </c>
      <c r="AG78">
        <f t="shared" si="58"/>
        <v>0</v>
      </c>
      <c r="AH78">
        <f t="shared" si="59"/>
        <v>0</v>
      </c>
      <c r="AI78">
        <f t="shared" si="60"/>
        <v>0</v>
      </c>
      <c r="AJ78">
        <f t="shared" si="61"/>
        <v>0</v>
      </c>
      <c r="AK78">
        <v>665</v>
      </c>
      <c r="AL78">
        <v>665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111</v>
      </c>
      <c r="AU78">
        <v>71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5.85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1</v>
      </c>
      <c r="BJ78" t="s">
        <v>152</v>
      </c>
      <c r="BM78">
        <v>23001</v>
      </c>
      <c r="BN78">
        <v>0</v>
      </c>
      <c r="BO78" t="s">
        <v>150</v>
      </c>
      <c r="BP78">
        <v>1</v>
      </c>
      <c r="BQ78">
        <v>2</v>
      </c>
      <c r="BR78">
        <v>1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130</v>
      </c>
      <c r="CA78">
        <v>89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62"/>
        <v>-298.77</v>
      </c>
      <c r="CQ78">
        <f t="shared" si="63"/>
        <v>3890.2499999999995</v>
      </c>
      <c r="CR78">
        <f t="shared" si="64"/>
        <v>0</v>
      </c>
      <c r="CS78">
        <f t="shared" si="65"/>
        <v>0</v>
      </c>
      <c r="CT78">
        <f t="shared" si="66"/>
        <v>0</v>
      </c>
      <c r="CU78">
        <f t="shared" si="67"/>
        <v>0</v>
      </c>
      <c r="CV78">
        <f t="shared" si="68"/>
        <v>0</v>
      </c>
      <c r="CW78">
        <f t="shared" si="69"/>
        <v>0</v>
      </c>
      <c r="CX78">
        <f t="shared" si="70"/>
        <v>0</v>
      </c>
      <c r="CY78">
        <f t="shared" si="71"/>
        <v>0</v>
      </c>
      <c r="CZ78">
        <f t="shared" si="72"/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1007</v>
      </c>
      <c r="DV78" t="s">
        <v>128</v>
      </c>
      <c r="DW78" t="s">
        <v>128</v>
      </c>
      <c r="DX78">
        <v>1</v>
      </c>
      <c r="EE78">
        <v>33409526</v>
      </c>
      <c r="EF78">
        <v>2</v>
      </c>
      <c r="EG78" t="s">
        <v>19</v>
      </c>
      <c r="EH78">
        <v>0</v>
      </c>
      <c r="EI78" t="s">
        <v>3</v>
      </c>
      <c r="EJ78">
        <v>1</v>
      </c>
      <c r="EK78">
        <v>23001</v>
      </c>
      <c r="EL78" t="s">
        <v>147</v>
      </c>
      <c r="EM78" t="s">
        <v>148</v>
      </c>
      <c r="EO78" t="s">
        <v>3</v>
      </c>
      <c r="EQ78">
        <v>0</v>
      </c>
      <c r="ER78">
        <v>665</v>
      </c>
      <c r="ES78">
        <v>665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f t="shared" si="39"/>
        <v>0</v>
      </c>
      <c r="FS78">
        <v>0</v>
      </c>
      <c r="FV78" t="s">
        <v>22</v>
      </c>
      <c r="FW78" t="s">
        <v>23</v>
      </c>
      <c r="FX78">
        <v>130</v>
      </c>
      <c r="FY78">
        <v>89</v>
      </c>
      <c r="GA78" t="s">
        <v>3</v>
      </c>
      <c r="GD78">
        <v>0</v>
      </c>
      <c r="GF78">
        <v>1329812617</v>
      </c>
      <c r="GG78">
        <v>2</v>
      </c>
      <c r="GH78">
        <v>1</v>
      </c>
      <c r="GI78">
        <v>2</v>
      </c>
      <c r="GJ78">
        <v>0</v>
      </c>
      <c r="GK78">
        <f>ROUND(R78*(R12)/100,2)</f>
        <v>0</v>
      </c>
      <c r="GL78">
        <f t="shared" si="40"/>
        <v>0</v>
      </c>
      <c r="GM78">
        <f t="shared" si="73"/>
        <v>-298.77</v>
      </c>
      <c r="GN78">
        <f t="shared" si="74"/>
        <v>-298.77</v>
      </c>
      <c r="GO78">
        <f t="shared" si="75"/>
        <v>0</v>
      </c>
      <c r="GP78">
        <f t="shared" si="76"/>
        <v>0</v>
      </c>
      <c r="GR78">
        <v>0</v>
      </c>
      <c r="GS78">
        <v>3</v>
      </c>
      <c r="GT78">
        <v>0</v>
      </c>
      <c r="GU78" t="s">
        <v>3</v>
      </c>
      <c r="GV78">
        <f t="shared" si="77"/>
        <v>0</v>
      </c>
      <c r="GW78">
        <v>1</v>
      </c>
      <c r="GX78">
        <f t="shared" si="41"/>
        <v>0</v>
      </c>
      <c r="HA78">
        <v>0</v>
      </c>
      <c r="HB78">
        <v>0</v>
      </c>
      <c r="IK78">
        <v>0</v>
      </c>
    </row>
    <row r="79" spans="1:245" x14ac:dyDescent="0.2">
      <c r="A79">
        <v>18</v>
      </c>
      <c r="B79">
        <v>1</v>
      </c>
      <c r="C79">
        <v>30</v>
      </c>
      <c r="E79" t="s">
        <v>153</v>
      </c>
      <c r="F79" t="s">
        <v>154</v>
      </c>
      <c r="G79" t="s">
        <v>155</v>
      </c>
      <c r="H79" t="s">
        <v>137</v>
      </c>
      <c r="I79">
        <f>I77*J79</f>
        <v>96</v>
      </c>
      <c r="J79">
        <v>1</v>
      </c>
      <c r="O79">
        <f t="shared" si="42"/>
        <v>2029892.12</v>
      </c>
      <c r="P79">
        <f t="shared" si="43"/>
        <v>2029892.12</v>
      </c>
      <c r="Q79">
        <f t="shared" si="44"/>
        <v>0</v>
      </c>
      <c r="R79">
        <f t="shared" si="45"/>
        <v>0</v>
      </c>
      <c r="S79">
        <f t="shared" si="46"/>
        <v>0</v>
      </c>
      <c r="T79">
        <f t="shared" si="47"/>
        <v>0</v>
      </c>
      <c r="U79">
        <f t="shared" si="48"/>
        <v>0</v>
      </c>
      <c r="V79">
        <f t="shared" si="49"/>
        <v>0</v>
      </c>
      <c r="W79">
        <f t="shared" si="50"/>
        <v>0</v>
      </c>
      <c r="X79">
        <f t="shared" si="51"/>
        <v>0</v>
      </c>
      <c r="Y79">
        <f t="shared" si="52"/>
        <v>0</v>
      </c>
      <c r="AA79">
        <v>35026474</v>
      </c>
      <c r="AB79">
        <f t="shared" si="53"/>
        <v>2920.54</v>
      </c>
      <c r="AC79">
        <f t="shared" si="54"/>
        <v>2920.54</v>
      </c>
      <c r="AD79">
        <f t="shared" si="55"/>
        <v>0</v>
      </c>
      <c r="AE79">
        <f t="shared" si="56"/>
        <v>0</v>
      </c>
      <c r="AF79">
        <f t="shared" si="57"/>
        <v>0</v>
      </c>
      <c r="AG79">
        <f t="shared" si="58"/>
        <v>0</v>
      </c>
      <c r="AH79">
        <f t="shared" si="59"/>
        <v>0</v>
      </c>
      <c r="AI79">
        <f t="shared" si="60"/>
        <v>0</v>
      </c>
      <c r="AJ79">
        <f t="shared" si="61"/>
        <v>0</v>
      </c>
      <c r="AK79">
        <v>2920.54</v>
      </c>
      <c r="AL79">
        <v>2920.54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111</v>
      </c>
      <c r="AU79">
        <v>71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7.24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1</v>
      </c>
      <c r="BJ79" t="s">
        <v>3</v>
      </c>
      <c r="BM79">
        <v>23001</v>
      </c>
      <c r="BN79">
        <v>0</v>
      </c>
      <c r="BO79" t="s">
        <v>3</v>
      </c>
      <c r="BP79">
        <v>0</v>
      </c>
      <c r="BQ79">
        <v>2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130</v>
      </c>
      <c r="CA79">
        <v>89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62"/>
        <v>2029892.12</v>
      </c>
      <c r="CQ79">
        <f t="shared" si="63"/>
        <v>21144.709600000002</v>
      </c>
      <c r="CR79">
        <f t="shared" si="64"/>
        <v>0</v>
      </c>
      <c r="CS79">
        <f t="shared" si="65"/>
        <v>0</v>
      </c>
      <c r="CT79">
        <f t="shared" si="66"/>
        <v>0</v>
      </c>
      <c r="CU79">
        <f t="shared" si="67"/>
        <v>0</v>
      </c>
      <c r="CV79">
        <f t="shared" si="68"/>
        <v>0</v>
      </c>
      <c r="CW79">
        <f t="shared" si="69"/>
        <v>0</v>
      </c>
      <c r="CX79">
        <f t="shared" si="70"/>
        <v>0</v>
      </c>
      <c r="CY79">
        <f t="shared" si="71"/>
        <v>0</v>
      </c>
      <c r="CZ79">
        <f t="shared" si="72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1013</v>
      </c>
      <c r="DV79" t="s">
        <v>137</v>
      </c>
      <c r="DW79" t="s">
        <v>137</v>
      </c>
      <c r="DX79">
        <v>1</v>
      </c>
      <c r="EE79">
        <v>33409526</v>
      </c>
      <c r="EF79">
        <v>2</v>
      </c>
      <c r="EG79" t="s">
        <v>19</v>
      </c>
      <c r="EH79">
        <v>0</v>
      </c>
      <c r="EI79" t="s">
        <v>3</v>
      </c>
      <c r="EJ79">
        <v>1</v>
      </c>
      <c r="EK79">
        <v>23001</v>
      </c>
      <c r="EL79" t="s">
        <v>147</v>
      </c>
      <c r="EM79" t="s">
        <v>148</v>
      </c>
      <c r="EO79" t="s">
        <v>3</v>
      </c>
      <c r="EQ79">
        <v>0</v>
      </c>
      <c r="ER79">
        <v>2920.54</v>
      </c>
      <c r="ES79">
        <v>2920.54</v>
      </c>
      <c r="ET79">
        <v>0</v>
      </c>
      <c r="EU79">
        <v>0</v>
      </c>
      <c r="EV79">
        <v>0</v>
      </c>
      <c r="EW79">
        <v>0</v>
      </c>
      <c r="EX79">
        <v>0</v>
      </c>
      <c r="EZ79">
        <v>5</v>
      </c>
      <c r="FC79">
        <v>0</v>
      </c>
      <c r="FD79">
        <v>18</v>
      </c>
      <c r="FF79">
        <v>20126.27</v>
      </c>
      <c r="FQ79">
        <v>0</v>
      </c>
      <c r="FR79">
        <f t="shared" si="39"/>
        <v>0</v>
      </c>
      <c r="FS79">
        <v>0</v>
      </c>
      <c r="FV79" t="s">
        <v>22</v>
      </c>
      <c r="FW79" t="s">
        <v>23</v>
      </c>
      <c r="FX79">
        <v>130</v>
      </c>
      <c r="FY79">
        <v>89</v>
      </c>
      <c r="GA79" t="s">
        <v>156</v>
      </c>
      <c r="GD79">
        <v>0</v>
      </c>
      <c r="GF79">
        <v>386272307</v>
      </c>
      <c r="GG79">
        <v>2</v>
      </c>
      <c r="GH79">
        <v>3</v>
      </c>
      <c r="GI79">
        <v>3</v>
      </c>
      <c r="GJ79">
        <v>0</v>
      </c>
      <c r="GK79">
        <f>ROUND(R79*(R12)/100,2)</f>
        <v>0</v>
      </c>
      <c r="GL79">
        <f t="shared" si="40"/>
        <v>0</v>
      </c>
      <c r="GM79">
        <f t="shared" si="73"/>
        <v>2029892.12</v>
      </c>
      <c r="GN79">
        <f t="shared" si="74"/>
        <v>2029892.12</v>
      </c>
      <c r="GO79">
        <f t="shared" si="75"/>
        <v>0</v>
      </c>
      <c r="GP79">
        <f t="shared" si="76"/>
        <v>0</v>
      </c>
      <c r="GR79">
        <v>1</v>
      </c>
      <c r="GS79">
        <v>1</v>
      </c>
      <c r="GT79">
        <v>0</v>
      </c>
      <c r="GU79" t="s">
        <v>3</v>
      </c>
      <c r="GV79">
        <f t="shared" si="77"/>
        <v>0</v>
      </c>
      <c r="GW79">
        <v>1</v>
      </c>
      <c r="GX79">
        <f t="shared" si="41"/>
        <v>0</v>
      </c>
      <c r="HA79">
        <v>0</v>
      </c>
      <c r="HB79">
        <v>0</v>
      </c>
      <c r="IK79">
        <v>0</v>
      </c>
    </row>
    <row r="80" spans="1:245" x14ac:dyDescent="0.2">
      <c r="A80">
        <v>17</v>
      </c>
      <c r="B80">
        <v>1</v>
      </c>
      <c r="C80">
        <f>ROW(SmtRes!A37)</f>
        <v>37</v>
      </c>
      <c r="D80">
        <f>ROW(EtalonRes!A36)</f>
        <v>36</v>
      </c>
      <c r="E80" t="s">
        <v>157</v>
      </c>
      <c r="F80" t="s">
        <v>158</v>
      </c>
      <c r="G80" t="s">
        <v>159</v>
      </c>
      <c r="H80" t="s">
        <v>113</v>
      </c>
      <c r="I80">
        <f>ROUND(110/10,9)</f>
        <v>11</v>
      </c>
      <c r="J80">
        <v>0</v>
      </c>
      <c r="O80">
        <f t="shared" si="42"/>
        <v>128617.68</v>
      </c>
      <c r="P80">
        <f t="shared" si="43"/>
        <v>5149.09</v>
      </c>
      <c r="Q80">
        <f t="shared" si="44"/>
        <v>20688.099999999999</v>
      </c>
      <c r="R80">
        <f t="shared" si="45"/>
        <v>8655.6</v>
      </c>
      <c r="S80">
        <f t="shared" si="46"/>
        <v>102780.49</v>
      </c>
      <c r="T80">
        <f t="shared" si="47"/>
        <v>0</v>
      </c>
      <c r="U80">
        <f t="shared" si="48"/>
        <v>486.64000000000004</v>
      </c>
      <c r="V80">
        <f t="shared" si="49"/>
        <v>30.14</v>
      </c>
      <c r="W80">
        <f t="shared" si="50"/>
        <v>0</v>
      </c>
      <c r="X80">
        <f t="shared" si="51"/>
        <v>109207.37</v>
      </c>
      <c r="Y80">
        <f t="shared" si="52"/>
        <v>80233.98</v>
      </c>
      <c r="AA80">
        <v>35026474</v>
      </c>
      <c r="AB80">
        <f t="shared" si="53"/>
        <v>794.35</v>
      </c>
      <c r="AC80">
        <f t="shared" si="54"/>
        <v>115.58</v>
      </c>
      <c r="AD80">
        <f t="shared" si="55"/>
        <v>301.39999999999998</v>
      </c>
      <c r="AE80">
        <f t="shared" si="56"/>
        <v>31.78</v>
      </c>
      <c r="AF80">
        <f t="shared" si="57"/>
        <v>377.37</v>
      </c>
      <c r="AG80">
        <f t="shared" si="58"/>
        <v>0</v>
      </c>
      <c r="AH80">
        <f t="shared" si="59"/>
        <v>44.24</v>
      </c>
      <c r="AI80">
        <f t="shared" si="60"/>
        <v>2.74</v>
      </c>
      <c r="AJ80">
        <f t="shared" si="61"/>
        <v>0</v>
      </c>
      <c r="AK80">
        <v>794.35</v>
      </c>
      <c r="AL80">
        <v>115.58</v>
      </c>
      <c r="AM80">
        <v>301.39999999999998</v>
      </c>
      <c r="AN80">
        <v>31.78</v>
      </c>
      <c r="AO80">
        <v>377.37</v>
      </c>
      <c r="AP80">
        <v>0</v>
      </c>
      <c r="AQ80">
        <v>44.24</v>
      </c>
      <c r="AR80">
        <v>2.74</v>
      </c>
      <c r="AS80">
        <v>0</v>
      </c>
      <c r="AT80">
        <v>98</v>
      </c>
      <c r="AU80">
        <v>72</v>
      </c>
      <c r="AV80">
        <v>1</v>
      </c>
      <c r="AW80">
        <v>1</v>
      </c>
      <c r="AZ80">
        <v>1</v>
      </c>
      <c r="BA80">
        <v>24.76</v>
      </c>
      <c r="BB80">
        <v>6.24</v>
      </c>
      <c r="BC80">
        <v>4.05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1</v>
      </c>
      <c r="BJ80" t="s">
        <v>160</v>
      </c>
      <c r="BM80">
        <v>47001</v>
      </c>
      <c r="BN80">
        <v>0</v>
      </c>
      <c r="BO80" t="s">
        <v>3</v>
      </c>
      <c r="BP80">
        <v>0</v>
      </c>
      <c r="BQ80">
        <v>2</v>
      </c>
      <c r="BR80">
        <v>0</v>
      </c>
      <c r="BS80">
        <v>24.76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115</v>
      </c>
      <c r="CA80">
        <v>90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62"/>
        <v>128617.68000000001</v>
      </c>
      <c r="CQ80">
        <f t="shared" si="63"/>
        <v>468.09899999999999</v>
      </c>
      <c r="CR80">
        <f t="shared" si="64"/>
        <v>1880.7359999999999</v>
      </c>
      <c r="CS80">
        <f t="shared" si="65"/>
        <v>786.8728000000001</v>
      </c>
      <c r="CT80">
        <f t="shared" si="66"/>
        <v>9343.6812000000009</v>
      </c>
      <c r="CU80">
        <f t="shared" si="67"/>
        <v>0</v>
      </c>
      <c r="CV80">
        <f t="shared" si="68"/>
        <v>44.24</v>
      </c>
      <c r="CW80">
        <f t="shared" si="69"/>
        <v>2.74</v>
      </c>
      <c r="CX80">
        <f t="shared" si="70"/>
        <v>0</v>
      </c>
      <c r="CY80">
        <f t="shared" si="71"/>
        <v>109207.3682</v>
      </c>
      <c r="CZ80">
        <f t="shared" si="72"/>
        <v>80233.984800000006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1013</v>
      </c>
      <c r="DV80" t="s">
        <v>113</v>
      </c>
      <c r="DW80" t="s">
        <v>113</v>
      </c>
      <c r="DX80">
        <v>1</v>
      </c>
      <c r="EE80">
        <v>33409561</v>
      </c>
      <c r="EF80">
        <v>2</v>
      </c>
      <c r="EG80" t="s">
        <v>19</v>
      </c>
      <c r="EH80">
        <v>0</v>
      </c>
      <c r="EI80" t="s">
        <v>3</v>
      </c>
      <c r="EJ80">
        <v>1</v>
      </c>
      <c r="EK80">
        <v>47001</v>
      </c>
      <c r="EL80" t="s">
        <v>115</v>
      </c>
      <c r="EM80" t="s">
        <v>116</v>
      </c>
      <c r="EO80" t="s">
        <v>3</v>
      </c>
      <c r="EQ80">
        <v>131072</v>
      </c>
      <c r="ER80">
        <v>794.35</v>
      </c>
      <c r="ES80">
        <v>115.58</v>
      </c>
      <c r="ET80">
        <v>301.39999999999998</v>
      </c>
      <c r="EU80">
        <v>31.78</v>
      </c>
      <c r="EV80">
        <v>377.37</v>
      </c>
      <c r="EW80">
        <v>44.24</v>
      </c>
      <c r="EX80">
        <v>2.74</v>
      </c>
      <c r="EY80">
        <v>0</v>
      </c>
      <c r="FQ80">
        <v>0</v>
      </c>
      <c r="FR80">
        <f t="shared" si="39"/>
        <v>0</v>
      </c>
      <c r="FS80">
        <v>0</v>
      </c>
      <c r="FV80" t="s">
        <v>22</v>
      </c>
      <c r="FW80" t="s">
        <v>23</v>
      </c>
      <c r="FX80">
        <v>115</v>
      </c>
      <c r="FY80">
        <v>90</v>
      </c>
      <c r="GA80" t="s">
        <v>3</v>
      </c>
      <c r="GD80">
        <v>0</v>
      </c>
      <c r="GF80">
        <v>-2140070527</v>
      </c>
      <c r="GG80">
        <v>2</v>
      </c>
      <c r="GH80">
        <v>1</v>
      </c>
      <c r="GI80">
        <v>3</v>
      </c>
      <c r="GJ80">
        <v>0</v>
      </c>
      <c r="GK80">
        <f>ROUND(R80*(R12)/100,2)</f>
        <v>0</v>
      </c>
      <c r="GL80">
        <f t="shared" si="40"/>
        <v>0</v>
      </c>
      <c r="GM80">
        <f t="shared" si="73"/>
        <v>318059.03000000003</v>
      </c>
      <c r="GN80">
        <f t="shared" si="74"/>
        <v>318059.03000000003</v>
      </c>
      <c r="GO80">
        <f t="shared" si="75"/>
        <v>0</v>
      </c>
      <c r="GP80">
        <f t="shared" si="76"/>
        <v>0</v>
      </c>
      <c r="GR80">
        <v>0</v>
      </c>
      <c r="GS80">
        <v>3</v>
      </c>
      <c r="GT80">
        <v>0</v>
      </c>
      <c r="GU80" t="s">
        <v>3</v>
      </c>
      <c r="GV80">
        <f t="shared" si="77"/>
        <v>0</v>
      </c>
      <c r="GW80">
        <v>1</v>
      </c>
      <c r="GX80">
        <f t="shared" si="41"/>
        <v>0</v>
      </c>
      <c r="HA80">
        <v>0</v>
      </c>
      <c r="HB80">
        <v>0</v>
      </c>
      <c r="IK80">
        <v>0</v>
      </c>
    </row>
    <row r="81" spans="1:245" x14ac:dyDescent="0.2">
      <c r="A81">
        <v>17</v>
      </c>
      <c r="B81">
        <v>1</v>
      </c>
      <c r="C81">
        <f>ROW(SmtRes!A40)</f>
        <v>40</v>
      </c>
      <c r="D81">
        <f>ROW(EtalonRes!A39)</f>
        <v>39</v>
      </c>
      <c r="E81" t="s">
        <v>161</v>
      </c>
      <c r="F81" t="s">
        <v>162</v>
      </c>
      <c r="G81" t="s">
        <v>163</v>
      </c>
      <c r="H81" t="s">
        <v>113</v>
      </c>
      <c r="I81">
        <f>ROUND(4/10,2)</f>
        <v>0.4</v>
      </c>
      <c r="J81">
        <v>0</v>
      </c>
      <c r="O81">
        <f t="shared" si="42"/>
        <v>1755.57</v>
      </c>
      <c r="P81">
        <f t="shared" si="43"/>
        <v>0</v>
      </c>
      <c r="Q81">
        <f t="shared" si="44"/>
        <v>359.6</v>
      </c>
      <c r="R81">
        <f t="shared" si="45"/>
        <v>164.31</v>
      </c>
      <c r="S81">
        <f t="shared" si="46"/>
        <v>1395.97</v>
      </c>
      <c r="T81">
        <f t="shared" si="47"/>
        <v>0</v>
      </c>
      <c r="U81">
        <f t="shared" si="48"/>
        <v>7.2280000000000006</v>
      </c>
      <c r="V81">
        <f t="shared" si="49"/>
        <v>0.57199999999999995</v>
      </c>
      <c r="W81">
        <f t="shared" si="50"/>
        <v>0</v>
      </c>
      <c r="X81">
        <f t="shared" si="51"/>
        <v>1529.07</v>
      </c>
      <c r="Y81">
        <f t="shared" si="52"/>
        <v>1123.4000000000001</v>
      </c>
      <c r="AA81">
        <v>35026474</v>
      </c>
      <c r="AB81">
        <f t="shared" si="53"/>
        <v>241.06</v>
      </c>
      <c r="AC81">
        <f t="shared" si="54"/>
        <v>0</v>
      </c>
      <c r="AD81">
        <f t="shared" si="55"/>
        <v>100.11</v>
      </c>
      <c r="AE81">
        <f t="shared" si="56"/>
        <v>16.59</v>
      </c>
      <c r="AF81">
        <f t="shared" si="57"/>
        <v>140.94999999999999</v>
      </c>
      <c r="AG81">
        <f t="shared" si="58"/>
        <v>0</v>
      </c>
      <c r="AH81">
        <f t="shared" si="59"/>
        <v>18.07</v>
      </c>
      <c r="AI81">
        <f t="shared" si="60"/>
        <v>1.43</v>
      </c>
      <c r="AJ81">
        <f t="shared" si="61"/>
        <v>0</v>
      </c>
      <c r="AK81">
        <v>241.06</v>
      </c>
      <c r="AL81">
        <v>0</v>
      </c>
      <c r="AM81">
        <v>100.11</v>
      </c>
      <c r="AN81">
        <v>16.59</v>
      </c>
      <c r="AO81">
        <v>140.94999999999999</v>
      </c>
      <c r="AP81">
        <v>0</v>
      </c>
      <c r="AQ81">
        <v>18.07</v>
      </c>
      <c r="AR81">
        <v>1.43</v>
      </c>
      <c r="AS81">
        <v>0</v>
      </c>
      <c r="AT81">
        <v>98</v>
      </c>
      <c r="AU81">
        <v>72</v>
      </c>
      <c r="AV81">
        <v>1</v>
      </c>
      <c r="AW81">
        <v>1</v>
      </c>
      <c r="AZ81">
        <v>1</v>
      </c>
      <c r="BA81">
        <v>24.76</v>
      </c>
      <c r="BB81">
        <v>8.98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1</v>
      </c>
      <c r="BJ81" t="s">
        <v>164</v>
      </c>
      <c r="BM81">
        <v>47001</v>
      </c>
      <c r="BN81">
        <v>0</v>
      </c>
      <c r="BO81" t="s">
        <v>3</v>
      </c>
      <c r="BP81">
        <v>0</v>
      </c>
      <c r="BQ81">
        <v>2</v>
      </c>
      <c r="BR81">
        <v>0</v>
      </c>
      <c r="BS81">
        <v>24.76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115</v>
      </c>
      <c r="CA81">
        <v>90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62"/>
        <v>1755.5700000000002</v>
      </c>
      <c r="CQ81">
        <f t="shared" si="63"/>
        <v>0</v>
      </c>
      <c r="CR81">
        <f t="shared" si="64"/>
        <v>898.98779999999999</v>
      </c>
      <c r="CS81">
        <f t="shared" si="65"/>
        <v>410.76840000000004</v>
      </c>
      <c r="CT81">
        <f t="shared" si="66"/>
        <v>3489.922</v>
      </c>
      <c r="CU81">
        <f t="shared" si="67"/>
        <v>0</v>
      </c>
      <c r="CV81">
        <f t="shared" si="68"/>
        <v>18.07</v>
      </c>
      <c r="CW81">
        <f t="shared" si="69"/>
        <v>1.43</v>
      </c>
      <c r="CX81">
        <f t="shared" si="70"/>
        <v>0</v>
      </c>
      <c r="CY81">
        <f t="shared" si="71"/>
        <v>1529.0744</v>
      </c>
      <c r="CZ81">
        <f t="shared" si="72"/>
        <v>1123.4016000000001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1013</v>
      </c>
      <c r="DV81" t="s">
        <v>113</v>
      </c>
      <c r="DW81" t="s">
        <v>113</v>
      </c>
      <c r="DX81">
        <v>1</v>
      </c>
      <c r="EE81">
        <v>33409561</v>
      </c>
      <c r="EF81">
        <v>2</v>
      </c>
      <c r="EG81" t="s">
        <v>19</v>
      </c>
      <c r="EH81">
        <v>0</v>
      </c>
      <c r="EI81" t="s">
        <v>3</v>
      </c>
      <c r="EJ81">
        <v>1</v>
      </c>
      <c r="EK81">
        <v>47001</v>
      </c>
      <c r="EL81" t="s">
        <v>115</v>
      </c>
      <c r="EM81" t="s">
        <v>116</v>
      </c>
      <c r="EO81" t="s">
        <v>3</v>
      </c>
      <c r="EQ81">
        <v>0</v>
      </c>
      <c r="ER81">
        <v>241.06</v>
      </c>
      <c r="ES81">
        <v>0</v>
      </c>
      <c r="ET81">
        <v>100.11</v>
      </c>
      <c r="EU81">
        <v>16.59</v>
      </c>
      <c r="EV81">
        <v>140.94999999999999</v>
      </c>
      <c r="EW81">
        <v>18.07</v>
      </c>
      <c r="EX81">
        <v>1.43</v>
      </c>
      <c r="EY81">
        <v>0</v>
      </c>
      <c r="FQ81">
        <v>0</v>
      </c>
      <c r="FR81">
        <f t="shared" si="39"/>
        <v>0</v>
      </c>
      <c r="FS81">
        <v>0</v>
      </c>
      <c r="FV81" t="s">
        <v>22</v>
      </c>
      <c r="FW81" t="s">
        <v>23</v>
      </c>
      <c r="FX81">
        <v>115</v>
      </c>
      <c r="FY81">
        <v>90</v>
      </c>
      <c r="GA81" t="s">
        <v>3</v>
      </c>
      <c r="GD81">
        <v>0</v>
      </c>
      <c r="GF81">
        <v>487264007</v>
      </c>
      <c r="GG81">
        <v>2</v>
      </c>
      <c r="GH81">
        <v>1</v>
      </c>
      <c r="GI81">
        <v>3</v>
      </c>
      <c r="GJ81">
        <v>0</v>
      </c>
      <c r="GK81">
        <f>ROUND(R81*(R12)/100,2)</f>
        <v>0</v>
      </c>
      <c r="GL81">
        <f t="shared" si="40"/>
        <v>0</v>
      </c>
      <c r="GM81">
        <f t="shared" si="73"/>
        <v>4408.04</v>
      </c>
      <c r="GN81">
        <f t="shared" si="74"/>
        <v>4408.04</v>
      </c>
      <c r="GO81">
        <f t="shared" si="75"/>
        <v>0</v>
      </c>
      <c r="GP81">
        <f t="shared" si="76"/>
        <v>0</v>
      </c>
      <c r="GR81">
        <v>0</v>
      </c>
      <c r="GS81">
        <v>3</v>
      </c>
      <c r="GT81">
        <v>0</v>
      </c>
      <c r="GU81" t="s">
        <v>3</v>
      </c>
      <c r="GV81">
        <f t="shared" si="77"/>
        <v>0</v>
      </c>
      <c r="GW81">
        <v>1</v>
      </c>
      <c r="GX81">
        <f t="shared" si="41"/>
        <v>0</v>
      </c>
      <c r="HA81">
        <v>0</v>
      </c>
      <c r="HB81">
        <v>0</v>
      </c>
      <c r="IK81">
        <v>0</v>
      </c>
    </row>
    <row r="82" spans="1:245" x14ac:dyDescent="0.2">
      <c r="A82">
        <v>17</v>
      </c>
      <c r="B82">
        <v>1</v>
      </c>
      <c r="C82">
        <f>ROW(SmtRes!A50)</f>
        <v>50</v>
      </c>
      <c r="D82">
        <f>ROW(EtalonRes!A48)</f>
        <v>48</v>
      </c>
      <c r="E82" t="s">
        <v>165</v>
      </c>
      <c r="F82" t="s">
        <v>131</v>
      </c>
      <c r="G82" t="s">
        <v>132</v>
      </c>
      <c r="H82" t="s">
        <v>113</v>
      </c>
      <c r="I82">
        <f>ROUND(4/10,2)</f>
        <v>0.4</v>
      </c>
      <c r="J82">
        <v>0</v>
      </c>
      <c r="O82">
        <f t="shared" si="42"/>
        <v>5592.67</v>
      </c>
      <c r="P82">
        <f t="shared" si="43"/>
        <v>495.73</v>
      </c>
      <c r="Q82">
        <f t="shared" si="44"/>
        <v>995.3</v>
      </c>
      <c r="R82">
        <f t="shared" si="45"/>
        <v>407.85</v>
      </c>
      <c r="S82">
        <f t="shared" si="46"/>
        <v>4101.6400000000003</v>
      </c>
      <c r="T82">
        <f t="shared" si="47"/>
        <v>0</v>
      </c>
      <c r="U82">
        <f t="shared" si="48"/>
        <v>17.22</v>
      </c>
      <c r="V82">
        <f t="shared" si="49"/>
        <v>1.3</v>
      </c>
      <c r="W82">
        <f t="shared" si="50"/>
        <v>0</v>
      </c>
      <c r="X82">
        <f t="shared" si="51"/>
        <v>4419.3</v>
      </c>
      <c r="Y82">
        <f t="shared" si="52"/>
        <v>3246.83</v>
      </c>
      <c r="AA82">
        <v>35026474</v>
      </c>
      <c r="AB82">
        <f t="shared" si="53"/>
        <v>1191.1600000000001</v>
      </c>
      <c r="AC82">
        <f t="shared" si="54"/>
        <v>415.88</v>
      </c>
      <c r="AD82">
        <f t="shared" si="55"/>
        <v>361.14</v>
      </c>
      <c r="AE82">
        <f t="shared" si="56"/>
        <v>41.18</v>
      </c>
      <c r="AF82">
        <f t="shared" si="57"/>
        <v>414.14</v>
      </c>
      <c r="AG82">
        <f t="shared" si="58"/>
        <v>0</v>
      </c>
      <c r="AH82">
        <f t="shared" si="59"/>
        <v>43.05</v>
      </c>
      <c r="AI82">
        <f t="shared" si="60"/>
        <v>3.25</v>
      </c>
      <c r="AJ82">
        <f t="shared" si="61"/>
        <v>0</v>
      </c>
      <c r="AK82">
        <v>1191.1600000000001</v>
      </c>
      <c r="AL82">
        <v>415.88</v>
      </c>
      <c r="AM82">
        <v>361.14</v>
      </c>
      <c r="AN82">
        <v>41.18</v>
      </c>
      <c r="AO82">
        <v>414.14</v>
      </c>
      <c r="AP82">
        <v>0</v>
      </c>
      <c r="AQ82">
        <v>43.05</v>
      </c>
      <c r="AR82">
        <v>3.25</v>
      </c>
      <c r="AS82">
        <v>0</v>
      </c>
      <c r="AT82">
        <v>98</v>
      </c>
      <c r="AU82">
        <v>72</v>
      </c>
      <c r="AV82">
        <v>1</v>
      </c>
      <c r="AW82">
        <v>1</v>
      </c>
      <c r="AZ82">
        <v>1</v>
      </c>
      <c r="BA82">
        <v>24.76</v>
      </c>
      <c r="BB82">
        <v>6.89</v>
      </c>
      <c r="BC82">
        <v>2.98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1</v>
      </c>
      <c r="BJ82" t="s">
        <v>133</v>
      </c>
      <c r="BM82">
        <v>47001</v>
      </c>
      <c r="BN82">
        <v>0</v>
      </c>
      <c r="BO82" t="s">
        <v>3</v>
      </c>
      <c r="BP82">
        <v>0</v>
      </c>
      <c r="BQ82">
        <v>2</v>
      </c>
      <c r="BR82">
        <v>0</v>
      </c>
      <c r="BS82">
        <v>24.76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115</v>
      </c>
      <c r="CA82">
        <v>90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62"/>
        <v>5592.67</v>
      </c>
      <c r="CQ82">
        <f t="shared" si="63"/>
        <v>1239.3224</v>
      </c>
      <c r="CR82">
        <f t="shared" si="64"/>
        <v>2488.2545999999998</v>
      </c>
      <c r="CS82">
        <f t="shared" si="65"/>
        <v>1019.6168</v>
      </c>
      <c r="CT82">
        <f t="shared" si="66"/>
        <v>10254.106400000001</v>
      </c>
      <c r="CU82">
        <f t="shared" si="67"/>
        <v>0</v>
      </c>
      <c r="CV82">
        <f t="shared" si="68"/>
        <v>43.05</v>
      </c>
      <c r="CW82">
        <f t="shared" si="69"/>
        <v>3.25</v>
      </c>
      <c r="CX82">
        <f t="shared" si="70"/>
        <v>0</v>
      </c>
      <c r="CY82">
        <f t="shared" si="71"/>
        <v>4419.3002000000006</v>
      </c>
      <c r="CZ82">
        <f t="shared" si="72"/>
        <v>3246.8328000000001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1013</v>
      </c>
      <c r="DV82" t="s">
        <v>113</v>
      </c>
      <c r="DW82" t="s">
        <v>113</v>
      </c>
      <c r="DX82">
        <v>1</v>
      </c>
      <c r="EE82">
        <v>33409561</v>
      </c>
      <c r="EF82">
        <v>2</v>
      </c>
      <c r="EG82" t="s">
        <v>19</v>
      </c>
      <c r="EH82">
        <v>0</v>
      </c>
      <c r="EI82" t="s">
        <v>3</v>
      </c>
      <c r="EJ82">
        <v>1</v>
      </c>
      <c r="EK82">
        <v>47001</v>
      </c>
      <c r="EL82" t="s">
        <v>115</v>
      </c>
      <c r="EM82" t="s">
        <v>116</v>
      </c>
      <c r="EO82" t="s">
        <v>3</v>
      </c>
      <c r="EQ82">
        <v>0</v>
      </c>
      <c r="ER82">
        <v>1191.1600000000001</v>
      </c>
      <c r="ES82">
        <v>415.88</v>
      </c>
      <c r="ET82">
        <v>361.14</v>
      </c>
      <c r="EU82">
        <v>41.18</v>
      </c>
      <c r="EV82">
        <v>414.14</v>
      </c>
      <c r="EW82">
        <v>43.05</v>
      </c>
      <c r="EX82">
        <v>3.25</v>
      </c>
      <c r="EY82">
        <v>0</v>
      </c>
      <c r="FQ82">
        <v>0</v>
      </c>
      <c r="FR82">
        <f t="shared" si="39"/>
        <v>0</v>
      </c>
      <c r="FS82">
        <v>0</v>
      </c>
      <c r="FV82" t="s">
        <v>22</v>
      </c>
      <c r="FW82" t="s">
        <v>23</v>
      </c>
      <c r="FX82">
        <v>115</v>
      </c>
      <c r="FY82">
        <v>90</v>
      </c>
      <c r="GA82" t="s">
        <v>3</v>
      </c>
      <c r="GD82">
        <v>0</v>
      </c>
      <c r="GF82">
        <v>1432197409</v>
      </c>
      <c r="GG82">
        <v>2</v>
      </c>
      <c r="GH82">
        <v>1</v>
      </c>
      <c r="GI82">
        <v>3</v>
      </c>
      <c r="GJ82">
        <v>0</v>
      </c>
      <c r="GK82">
        <f>ROUND(R82*(R12)/100,2)</f>
        <v>0</v>
      </c>
      <c r="GL82">
        <f t="shared" si="40"/>
        <v>0</v>
      </c>
      <c r="GM82">
        <f t="shared" si="73"/>
        <v>13258.8</v>
      </c>
      <c r="GN82">
        <f t="shared" si="74"/>
        <v>13258.8</v>
      </c>
      <c r="GO82">
        <f t="shared" si="75"/>
        <v>0</v>
      </c>
      <c r="GP82">
        <f t="shared" si="76"/>
        <v>0</v>
      </c>
      <c r="GR82">
        <v>0</v>
      </c>
      <c r="GS82">
        <v>3</v>
      </c>
      <c r="GT82">
        <v>0</v>
      </c>
      <c r="GU82" t="s">
        <v>3</v>
      </c>
      <c r="GV82">
        <f t="shared" si="77"/>
        <v>0</v>
      </c>
      <c r="GW82">
        <v>1</v>
      </c>
      <c r="GX82">
        <f t="shared" si="41"/>
        <v>0</v>
      </c>
      <c r="HA82">
        <v>0</v>
      </c>
      <c r="HB82">
        <v>0</v>
      </c>
      <c r="IK82">
        <v>0</v>
      </c>
    </row>
    <row r="83" spans="1:245" x14ac:dyDescent="0.2">
      <c r="A83">
        <v>18</v>
      </c>
      <c r="B83">
        <v>1</v>
      </c>
      <c r="C83">
        <v>49</v>
      </c>
      <c r="E83" t="s">
        <v>166</v>
      </c>
      <c r="F83" t="s">
        <v>135</v>
      </c>
      <c r="G83" t="s">
        <v>136</v>
      </c>
      <c r="H83" t="s">
        <v>137</v>
      </c>
      <c r="I83">
        <f>I82*J83</f>
        <v>2</v>
      </c>
      <c r="J83">
        <v>5</v>
      </c>
      <c r="O83">
        <f t="shared" si="42"/>
        <v>170357.49</v>
      </c>
      <c r="P83">
        <f t="shared" si="43"/>
        <v>170357.49</v>
      </c>
      <c r="Q83">
        <f t="shared" si="44"/>
        <v>0</v>
      </c>
      <c r="R83">
        <f t="shared" si="45"/>
        <v>0</v>
      </c>
      <c r="S83">
        <f t="shared" si="46"/>
        <v>0</v>
      </c>
      <c r="T83">
        <f t="shared" si="47"/>
        <v>0</v>
      </c>
      <c r="U83">
        <f t="shared" si="48"/>
        <v>0</v>
      </c>
      <c r="V83">
        <f t="shared" si="49"/>
        <v>0</v>
      </c>
      <c r="W83">
        <f t="shared" si="50"/>
        <v>0</v>
      </c>
      <c r="X83">
        <f t="shared" si="51"/>
        <v>0</v>
      </c>
      <c r="Y83">
        <f t="shared" si="52"/>
        <v>0</v>
      </c>
      <c r="AA83">
        <v>35026474</v>
      </c>
      <c r="AB83">
        <f t="shared" si="53"/>
        <v>11765.02</v>
      </c>
      <c r="AC83">
        <f t="shared" si="54"/>
        <v>11765.02</v>
      </c>
      <c r="AD83">
        <f t="shared" si="55"/>
        <v>0</v>
      </c>
      <c r="AE83">
        <f t="shared" si="56"/>
        <v>0</v>
      </c>
      <c r="AF83">
        <f t="shared" si="57"/>
        <v>0</v>
      </c>
      <c r="AG83">
        <f t="shared" si="58"/>
        <v>0</v>
      </c>
      <c r="AH83">
        <f t="shared" si="59"/>
        <v>0</v>
      </c>
      <c r="AI83">
        <f t="shared" si="60"/>
        <v>0</v>
      </c>
      <c r="AJ83">
        <f t="shared" si="61"/>
        <v>0</v>
      </c>
      <c r="AK83">
        <v>11765.02</v>
      </c>
      <c r="AL83">
        <v>11765.02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98</v>
      </c>
      <c r="AU83">
        <v>72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7.24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1</v>
      </c>
      <c r="BJ83" t="s">
        <v>3</v>
      </c>
      <c r="BM83">
        <v>47001</v>
      </c>
      <c r="BN83">
        <v>0</v>
      </c>
      <c r="BO83" t="s">
        <v>3</v>
      </c>
      <c r="BP83">
        <v>0</v>
      </c>
      <c r="BQ83">
        <v>2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115</v>
      </c>
      <c r="CA83">
        <v>90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62"/>
        <v>170357.49</v>
      </c>
      <c r="CQ83">
        <f t="shared" si="63"/>
        <v>85178.7448</v>
      </c>
      <c r="CR83">
        <f t="shared" si="64"/>
        <v>0</v>
      </c>
      <c r="CS83">
        <f t="shared" si="65"/>
        <v>0</v>
      </c>
      <c r="CT83">
        <f t="shared" si="66"/>
        <v>0</v>
      </c>
      <c r="CU83">
        <f t="shared" si="67"/>
        <v>0</v>
      </c>
      <c r="CV83">
        <f t="shared" si="68"/>
        <v>0</v>
      </c>
      <c r="CW83">
        <f t="shared" si="69"/>
        <v>0</v>
      </c>
      <c r="CX83">
        <f t="shared" si="70"/>
        <v>0</v>
      </c>
      <c r="CY83">
        <f t="shared" si="71"/>
        <v>0</v>
      </c>
      <c r="CZ83">
        <f t="shared" si="72"/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1013</v>
      </c>
      <c r="DV83" t="s">
        <v>137</v>
      </c>
      <c r="DW83" t="s">
        <v>137</v>
      </c>
      <c r="DX83">
        <v>1</v>
      </c>
      <c r="EE83">
        <v>33409561</v>
      </c>
      <c r="EF83">
        <v>2</v>
      </c>
      <c r="EG83" t="s">
        <v>19</v>
      </c>
      <c r="EH83">
        <v>0</v>
      </c>
      <c r="EI83" t="s">
        <v>3</v>
      </c>
      <c r="EJ83">
        <v>1</v>
      </c>
      <c r="EK83">
        <v>47001</v>
      </c>
      <c r="EL83" t="s">
        <v>115</v>
      </c>
      <c r="EM83" t="s">
        <v>116</v>
      </c>
      <c r="EO83" t="s">
        <v>3</v>
      </c>
      <c r="EQ83">
        <v>0</v>
      </c>
      <c r="ER83">
        <v>11765.02</v>
      </c>
      <c r="ES83">
        <v>11765.02</v>
      </c>
      <c r="ET83">
        <v>0</v>
      </c>
      <c r="EU83">
        <v>0</v>
      </c>
      <c r="EV83">
        <v>0</v>
      </c>
      <c r="EW83">
        <v>0</v>
      </c>
      <c r="EX83">
        <v>0</v>
      </c>
      <c r="EZ83">
        <v>5</v>
      </c>
      <c r="FC83">
        <v>0</v>
      </c>
      <c r="FD83">
        <v>18</v>
      </c>
      <c r="FF83">
        <v>81076.27</v>
      </c>
      <c r="FQ83">
        <v>0</v>
      </c>
      <c r="FR83">
        <f t="shared" si="39"/>
        <v>0</v>
      </c>
      <c r="FS83">
        <v>0</v>
      </c>
      <c r="FV83" t="s">
        <v>22</v>
      </c>
      <c r="FW83" t="s">
        <v>23</v>
      </c>
      <c r="FX83">
        <v>115</v>
      </c>
      <c r="FY83">
        <v>90</v>
      </c>
      <c r="GA83" t="s">
        <v>138</v>
      </c>
      <c r="GD83">
        <v>0</v>
      </c>
      <c r="GF83">
        <v>1806329505</v>
      </c>
      <c r="GG83">
        <v>2</v>
      </c>
      <c r="GH83">
        <v>3</v>
      </c>
      <c r="GI83">
        <v>3</v>
      </c>
      <c r="GJ83">
        <v>0</v>
      </c>
      <c r="GK83">
        <f>ROUND(R83*(R12)/100,2)</f>
        <v>0</v>
      </c>
      <c r="GL83">
        <f t="shared" si="40"/>
        <v>0</v>
      </c>
      <c r="GM83">
        <f t="shared" si="73"/>
        <v>170357.49</v>
      </c>
      <c r="GN83">
        <f t="shared" si="74"/>
        <v>170357.49</v>
      </c>
      <c r="GO83">
        <f t="shared" si="75"/>
        <v>0</v>
      </c>
      <c r="GP83">
        <f t="shared" si="76"/>
        <v>0</v>
      </c>
      <c r="GR83">
        <v>1</v>
      </c>
      <c r="GS83">
        <v>1</v>
      </c>
      <c r="GT83">
        <v>0</v>
      </c>
      <c r="GU83" t="s">
        <v>3</v>
      </c>
      <c r="GV83">
        <f t="shared" si="77"/>
        <v>0</v>
      </c>
      <c r="GW83">
        <v>1</v>
      </c>
      <c r="GX83">
        <f t="shared" si="41"/>
        <v>0</v>
      </c>
      <c r="HA83">
        <v>0</v>
      </c>
      <c r="HB83">
        <v>0</v>
      </c>
      <c r="IK83">
        <v>0</v>
      </c>
    </row>
    <row r="84" spans="1:245" x14ac:dyDescent="0.2">
      <c r="A84">
        <v>18</v>
      </c>
      <c r="B84">
        <v>1</v>
      </c>
      <c r="C84">
        <v>50</v>
      </c>
      <c r="E84" t="s">
        <v>167</v>
      </c>
      <c r="F84" t="s">
        <v>140</v>
      </c>
      <c r="G84" t="s">
        <v>141</v>
      </c>
      <c r="H84" t="s">
        <v>137</v>
      </c>
      <c r="I84">
        <f>I82*J84</f>
        <v>2</v>
      </c>
      <c r="J84">
        <v>5</v>
      </c>
      <c r="O84">
        <f t="shared" si="42"/>
        <v>192313.22</v>
      </c>
      <c r="P84">
        <f t="shared" si="43"/>
        <v>192313.22</v>
      </c>
      <c r="Q84">
        <f t="shared" si="44"/>
        <v>0</v>
      </c>
      <c r="R84">
        <f t="shared" si="45"/>
        <v>0</v>
      </c>
      <c r="S84">
        <f t="shared" si="46"/>
        <v>0</v>
      </c>
      <c r="T84">
        <f t="shared" si="47"/>
        <v>0</v>
      </c>
      <c r="U84">
        <f t="shared" si="48"/>
        <v>0</v>
      </c>
      <c r="V84">
        <f t="shared" si="49"/>
        <v>0</v>
      </c>
      <c r="W84">
        <f t="shared" si="50"/>
        <v>0</v>
      </c>
      <c r="X84">
        <f t="shared" si="51"/>
        <v>0</v>
      </c>
      <c r="Y84">
        <f t="shared" si="52"/>
        <v>0</v>
      </c>
      <c r="AA84">
        <v>35026474</v>
      </c>
      <c r="AB84">
        <f t="shared" si="53"/>
        <v>13281.3</v>
      </c>
      <c r="AC84">
        <f t="shared" si="54"/>
        <v>13281.3</v>
      </c>
      <c r="AD84">
        <f t="shared" si="55"/>
        <v>0</v>
      </c>
      <c r="AE84">
        <f t="shared" si="56"/>
        <v>0</v>
      </c>
      <c r="AF84">
        <f t="shared" si="57"/>
        <v>0</v>
      </c>
      <c r="AG84">
        <f t="shared" si="58"/>
        <v>0</v>
      </c>
      <c r="AH84">
        <f t="shared" si="59"/>
        <v>0</v>
      </c>
      <c r="AI84">
        <f t="shared" si="60"/>
        <v>0</v>
      </c>
      <c r="AJ84">
        <f t="shared" si="61"/>
        <v>0</v>
      </c>
      <c r="AK84">
        <v>13281.3</v>
      </c>
      <c r="AL84">
        <v>13281.3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98</v>
      </c>
      <c r="AU84">
        <v>72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7.24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1</v>
      </c>
      <c r="BJ84" t="s">
        <v>3</v>
      </c>
      <c r="BM84">
        <v>47001</v>
      </c>
      <c r="BN84">
        <v>0</v>
      </c>
      <c r="BO84" t="s">
        <v>3</v>
      </c>
      <c r="BP84">
        <v>0</v>
      </c>
      <c r="BQ84">
        <v>2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115</v>
      </c>
      <c r="CA84">
        <v>90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62"/>
        <v>192313.22</v>
      </c>
      <c r="CQ84">
        <f t="shared" si="63"/>
        <v>96156.611999999994</v>
      </c>
      <c r="CR84">
        <f t="shared" si="64"/>
        <v>0</v>
      </c>
      <c r="CS84">
        <f t="shared" si="65"/>
        <v>0</v>
      </c>
      <c r="CT84">
        <f t="shared" si="66"/>
        <v>0</v>
      </c>
      <c r="CU84">
        <f t="shared" si="67"/>
        <v>0</v>
      </c>
      <c r="CV84">
        <f t="shared" si="68"/>
        <v>0</v>
      </c>
      <c r="CW84">
        <f t="shared" si="69"/>
        <v>0</v>
      </c>
      <c r="CX84">
        <f t="shared" si="70"/>
        <v>0</v>
      </c>
      <c r="CY84">
        <f t="shared" si="71"/>
        <v>0</v>
      </c>
      <c r="CZ84">
        <f t="shared" si="72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1013</v>
      </c>
      <c r="DV84" t="s">
        <v>137</v>
      </c>
      <c r="DW84" t="s">
        <v>137</v>
      </c>
      <c r="DX84">
        <v>1</v>
      </c>
      <c r="EE84">
        <v>33409561</v>
      </c>
      <c r="EF84">
        <v>2</v>
      </c>
      <c r="EG84" t="s">
        <v>19</v>
      </c>
      <c r="EH84">
        <v>0</v>
      </c>
      <c r="EI84" t="s">
        <v>3</v>
      </c>
      <c r="EJ84">
        <v>1</v>
      </c>
      <c r="EK84">
        <v>47001</v>
      </c>
      <c r="EL84" t="s">
        <v>115</v>
      </c>
      <c r="EM84" t="s">
        <v>116</v>
      </c>
      <c r="EO84" t="s">
        <v>3</v>
      </c>
      <c r="EQ84">
        <v>0</v>
      </c>
      <c r="ER84">
        <v>13281.3</v>
      </c>
      <c r="ES84">
        <v>13281.3</v>
      </c>
      <c r="ET84">
        <v>0</v>
      </c>
      <c r="EU84">
        <v>0</v>
      </c>
      <c r="EV84">
        <v>0</v>
      </c>
      <c r="EW84">
        <v>0</v>
      </c>
      <c r="EX84">
        <v>0</v>
      </c>
      <c r="EZ84">
        <v>5</v>
      </c>
      <c r="FC84">
        <v>0</v>
      </c>
      <c r="FD84">
        <v>18</v>
      </c>
      <c r="FF84">
        <v>91525.42</v>
      </c>
      <c r="FQ84">
        <v>0</v>
      </c>
      <c r="FR84">
        <f t="shared" si="39"/>
        <v>0</v>
      </c>
      <c r="FS84">
        <v>0</v>
      </c>
      <c r="FV84" t="s">
        <v>22</v>
      </c>
      <c r="FW84" t="s">
        <v>23</v>
      </c>
      <c r="FX84">
        <v>115</v>
      </c>
      <c r="FY84">
        <v>90</v>
      </c>
      <c r="GA84" t="s">
        <v>142</v>
      </c>
      <c r="GD84">
        <v>0</v>
      </c>
      <c r="GF84">
        <v>-1305323175</v>
      </c>
      <c r="GG84">
        <v>2</v>
      </c>
      <c r="GH84">
        <v>3</v>
      </c>
      <c r="GI84">
        <v>3</v>
      </c>
      <c r="GJ84">
        <v>0</v>
      </c>
      <c r="GK84">
        <f>ROUND(R84*(R12)/100,2)</f>
        <v>0</v>
      </c>
      <c r="GL84">
        <f t="shared" si="40"/>
        <v>0</v>
      </c>
      <c r="GM84">
        <f t="shared" si="73"/>
        <v>192313.22</v>
      </c>
      <c r="GN84">
        <f t="shared" si="74"/>
        <v>192313.22</v>
      </c>
      <c r="GO84">
        <f t="shared" si="75"/>
        <v>0</v>
      </c>
      <c r="GP84">
        <f t="shared" si="76"/>
        <v>0</v>
      </c>
      <c r="GR84">
        <v>1</v>
      </c>
      <c r="GS84">
        <v>1</v>
      </c>
      <c r="GT84">
        <v>0</v>
      </c>
      <c r="GU84" t="s">
        <v>3</v>
      </c>
      <c r="GV84">
        <f t="shared" si="77"/>
        <v>0</v>
      </c>
      <c r="GW84">
        <v>1</v>
      </c>
      <c r="GX84">
        <f t="shared" si="41"/>
        <v>0</v>
      </c>
      <c r="HA84">
        <v>0</v>
      </c>
      <c r="HB84">
        <v>0</v>
      </c>
      <c r="IK84">
        <v>0</v>
      </c>
    </row>
    <row r="86" spans="1:245" x14ac:dyDescent="0.2">
      <c r="A86" s="2">
        <v>51</v>
      </c>
      <c r="B86" s="2">
        <f>B65</f>
        <v>1</v>
      </c>
      <c r="C86" s="2">
        <f>A65</f>
        <v>4</v>
      </c>
      <c r="D86" s="2">
        <f>ROW(A65)</f>
        <v>65</v>
      </c>
      <c r="E86" s="2"/>
      <c r="F86" s="2" t="str">
        <f>IF(F65&lt;&gt;"",F65,"")</f>
        <v>Новый раздел</v>
      </c>
      <c r="G86" s="2" t="str">
        <f>IF(G65&lt;&gt;"",G65,"")</f>
        <v>Озеленение</v>
      </c>
      <c r="H86" s="2">
        <v>0</v>
      </c>
      <c r="I86" s="2"/>
      <c r="J86" s="2"/>
      <c r="K86" s="2"/>
      <c r="L86" s="2"/>
      <c r="M86" s="2"/>
      <c r="N86" s="2"/>
      <c r="O86" s="2">
        <f t="shared" ref="O86:T86" si="78">ROUND(AB86,2)</f>
        <v>13385130.949999999</v>
      </c>
      <c r="P86" s="2">
        <f t="shared" si="78"/>
        <v>12929173.16</v>
      </c>
      <c r="Q86" s="2">
        <f t="shared" si="78"/>
        <v>64579.79</v>
      </c>
      <c r="R86" s="2">
        <f t="shared" si="78"/>
        <v>26887.33</v>
      </c>
      <c r="S86" s="2">
        <f t="shared" si="78"/>
        <v>391378</v>
      </c>
      <c r="T86" s="2">
        <f t="shared" si="78"/>
        <v>0</v>
      </c>
      <c r="U86" s="2">
        <f>AH86</f>
        <v>1852.8980000000001</v>
      </c>
      <c r="V86" s="2">
        <f>AI86</f>
        <v>90.212000000000003</v>
      </c>
      <c r="W86" s="2">
        <f>ROUND(AJ86,2)</f>
        <v>0</v>
      </c>
      <c r="X86" s="2">
        <f>ROUND(AK86,2)</f>
        <v>413648.25</v>
      </c>
      <c r="Y86" s="2">
        <f>ROUND(AL86,2)</f>
        <v>300862.7</v>
      </c>
      <c r="Z86" s="2"/>
      <c r="AA86" s="2"/>
      <c r="AB86" s="2">
        <f>ROUND(SUMIF(AA69:AA84,"=35026474",O69:O84),2)</f>
        <v>13385130.949999999</v>
      </c>
      <c r="AC86" s="2">
        <f>ROUND(SUMIF(AA69:AA84,"=35026474",P69:P84),2)</f>
        <v>12929173.16</v>
      </c>
      <c r="AD86" s="2">
        <f>ROUND(SUMIF(AA69:AA84,"=35026474",Q69:Q84),2)</f>
        <v>64579.79</v>
      </c>
      <c r="AE86" s="2">
        <f>ROUND(SUMIF(AA69:AA84,"=35026474",R69:R84),2)</f>
        <v>26887.33</v>
      </c>
      <c r="AF86" s="2">
        <f>ROUND(SUMIF(AA69:AA84,"=35026474",S69:S84),2)</f>
        <v>391378</v>
      </c>
      <c r="AG86" s="2">
        <f>ROUND(SUMIF(AA69:AA84,"=35026474",T69:T84),2)</f>
        <v>0</v>
      </c>
      <c r="AH86" s="2">
        <f>SUMIF(AA69:AA84,"=35026474",U69:U84)</f>
        <v>1852.8980000000001</v>
      </c>
      <c r="AI86" s="2">
        <f>SUMIF(AA69:AA84,"=35026474",V69:V84)</f>
        <v>90.212000000000003</v>
      </c>
      <c r="AJ86" s="2">
        <f>ROUND(SUMIF(AA69:AA84,"=35026474",W69:W84),2)</f>
        <v>0</v>
      </c>
      <c r="AK86" s="2">
        <f>ROUND(SUMIF(AA69:AA84,"=35026474",X69:X84),2)</f>
        <v>413648.25</v>
      </c>
      <c r="AL86" s="2">
        <f>ROUND(SUMIF(AA69:AA84,"=35026474",Y69:Y84),2)</f>
        <v>300862.7</v>
      </c>
      <c r="AM86" s="2"/>
      <c r="AN86" s="2"/>
      <c r="AO86" s="2">
        <f t="shared" ref="AO86:BC86" si="79">ROUND(BX86,2)</f>
        <v>0</v>
      </c>
      <c r="AP86" s="2">
        <f t="shared" si="79"/>
        <v>0</v>
      </c>
      <c r="AQ86" s="2">
        <f t="shared" si="79"/>
        <v>0</v>
      </c>
      <c r="AR86" s="2">
        <f t="shared" si="79"/>
        <v>14242604.949999999</v>
      </c>
      <c r="AS86" s="2">
        <f t="shared" si="79"/>
        <v>14212208.609999999</v>
      </c>
      <c r="AT86" s="2">
        <f t="shared" si="79"/>
        <v>0</v>
      </c>
      <c r="AU86" s="2">
        <f t="shared" si="79"/>
        <v>30396.34</v>
      </c>
      <c r="AV86" s="2">
        <f t="shared" si="79"/>
        <v>12929173.16</v>
      </c>
      <c r="AW86" s="2">
        <f t="shared" si="79"/>
        <v>12929173.16</v>
      </c>
      <c r="AX86" s="2">
        <f t="shared" si="79"/>
        <v>0</v>
      </c>
      <c r="AY86" s="2">
        <f t="shared" si="79"/>
        <v>12929173.16</v>
      </c>
      <c r="AZ86" s="2">
        <f t="shared" si="79"/>
        <v>0</v>
      </c>
      <c r="BA86" s="2">
        <f t="shared" si="79"/>
        <v>0</v>
      </c>
      <c r="BB86" s="2">
        <f t="shared" si="79"/>
        <v>0</v>
      </c>
      <c r="BC86" s="2">
        <f t="shared" si="79"/>
        <v>0</v>
      </c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>
        <f>ROUND(SUMIF(AA69:AA84,"=35026474",FQ69:FQ84),2)</f>
        <v>0</v>
      </c>
      <c r="BY86" s="2">
        <f>ROUND(SUMIF(AA69:AA84,"=35026474",FR69:FR84),2)</f>
        <v>0</v>
      </c>
      <c r="BZ86" s="2">
        <f>ROUND(SUMIF(AA69:AA84,"=35026474",GL69:GL84),2)</f>
        <v>0</v>
      </c>
      <c r="CA86" s="2">
        <f>ROUND(SUMIF(AA69:AA84,"=35026474",GM69:GM84),2)</f>
        <v>14242604.949999999</v>
      </c>
      <c r="CB86" s="2">
        <f>ROUND(SUMIF(AA69:AA84,"=35026474",GN69:GN84),2)</f>
        <v>14212208.609999999</v>
      </c>
      <c r="CC86" s="2">
        <f>ROUND(SUMIF(AA69:AA84,"=35026474",GO69:GO84),2)</f>
        <v>0</v>
      </c>
      <c r="CD86" s="2">
        <f>ROUND(SUMIF(AA69:AA84,"=35026474",GP69:GP84),2)</f>
        <v>30396.34</v>
      </c>
      <c r="CE86" s="2">
        <f>AC86-BX86</f>
        <v>12929173.16</v>
      </c>
      <c r="CF86" s="2">
        <f>AC86-BY86</f>
        <v>12929173.16</v>
      </c>
      <c r="CG86" s="2">
        <f>BX86-BZ86</f>
        <v>0</v>
      </c>
      <c r="CH86" s="2">
        <f>AC86-BX86-BY86+BZ86</f>
        <v>12929173.16</v>
      </c>
      <c r="CI86" s="2">
        <f>BY86-BZ86</f>
        <v>0</v>
      </c>
      <c r="CJ86" s="2">
        <f>ROUND(SUMIF(AA69:AA84,"=35026474",GX69:GX84),2)</f>
        <v>0</v>
      </c>
      <c r="CK86" s="2">
        <f>ROUND(SUMIF(AA69:AA84,"=35026474",GY69:GY84),2)</f>
        <v>0</v>
      </c>
      <c r="CL86" s="2">
        <f>ROUND(SUMIF(AA69:AA84,"=35026474",GZ69:GZ84),2)</f>
        <v>0</v>
      </c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>
        <v>0</v>
      </c>
    </row>
    <row r="88" spans="1:245" x14ac:dyDescent="0.2">
      <c r="A88" s="4">
        <v>50</v>
      </c>
      <c r="B88" s="4">
        <v>0</v>
      </c>
      <c r="C88" s="4">
        <v>0</v>
      </c>
      <c r="D88" s="4">
        <v>1</v>
      </c>
      <c r="E88" s="4">
        <v>201</v>
      </c>
      <c r="F88" s="4">
        <f>ROUND(Source!O86,O88)</f>
        <v>13385130.949999999</v>
      </c>
      <c r="G88" s="4" t="s">
        <v>57</v>
      </c>
      <c r="H88" s="4" t="s">
        <v>58</v>
      </c>
      <c r="I88" s="4"/>
      <c r="J88" s="4"/>
      <c r="K88" s="4">
        <v>201</v>
      </c>
      <c r="L88" s="4">
        <v>1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45" x14ac:dyDescent="0.2">
      <c r="A89" s="4">
        <v>50</v>
      </c>
      <c r="B89" s="4">
        <v>0</v>
      </c>
      <c r="C89" s="4">
        <v>0</v>
      </c>
      <c r="D89" s="4">
        <v>1</v>
      </c>
      <c r="E89" s="4">
        <v>202</v>
      </c>
      <c r="F89" s="4">
        <f>ROUND(Source!P86,O89)</f>
        <v>12929173.16</v>
      </c>
      <c r="G89" s="4" t="s">
        <v>59</v>
      </c>
      <c r="H89" s="4" t="s">
        <v>60</v>
      </c>
      <c r="I89" s="4"/>
      <c r="J89" s="4"/>
      <c r="K89" s="4">
        <v>202</v>
      </c>
      <c r="L89" s="4">
        <v>2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45" x14ac:dyDescent="0.2">
      <c r="A90" s="4">
        <v>50</v>
      </c>
      <c r="B90" s="4">
        <v>0</v>
      </c>
      <c r="C90" s="4">
        <v>0</v>
      </c>
      <c r="D90" s="4">
        <v>1</v>
      </c>
      <c r="E90" s="4">
        <v>222</v>
      </c>
      <c r="F90" s="4">
        <f>ROUND(Source!AO86,O90)</f>
        <v>0</v>
      </c>
      <c r="G90" s="4" t="s">
        <v>61</v>
      </c>
      <c r="H90" s="4" t="s">
        <v>62</v>
      </c>
      <c r="I90" s="4"/>
      <c r="J90" s="4"/>
      <c r="K90" s="4">
        <v>222</v>
      </c>
      <c r="L90" s="4">
        <v>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225</v>
      </c>
      <c r="F91" s="4">
        <f>ROUND(Source!AV86,O91)</f>
        <v>12929173.16</v>
      </c>
      <c r="G91" s="4" t="s">
        <v>63</v>
      </c>
      <c r="H91" s="4" t="s">
        <v>64</v>
      </c>
      <c r="I91" s="4"/>
      <c r="J91" s="4"/>
      <c r="K91" s="4">
        <v>225</v>
      </c>
      <c r="L91" s="4">
        <v>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226</v>
      </c>
      <c r="F92" s="4">
        <f>ROUND(Source!AW86,O92)</f>
        <v>12929173.16</v>
      </c>
      <c r="G92" s="4" t="s">
        <v>65</v>
      </c>
      <c r="H92" s="4" t="s">
        <v>66</v>
      </c>
      <c r="I92" s="4"/>
      <c r="J92" s="4"/>
      <c r="K92" s="4">
        <v>226</v>
      </c>
      <c r="L92" s="4">
        <v>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227</v>
      </c>
      <c r="F93" s="4">
        <f>ROUND(Source!AX86,O93)</f>
        <v>0</v>
      </c>
      <c r="G93" s="4" t="s">
        <v>67</v>
      </c>
      <c r="H93" s="4" t="s">
        <v>68</v>
      </c>
      <c r="I93" s="4"/>
      <c r="J93" s="4"/>
      <c r="K93" s="4">
        <v>227</v>
      </c>
      <c r="L93" s="4">
        <v>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228</v>
      </c>
      <c r="F94" s="4">
        <f>ROUND(Source!AY86,O94)</f>
        <v>12929173.16</v>
      </c>
      <c r="G94" s="4" t="s">
        <v>69</v>
      </c>
      <c r="H94" s="4" t="s">
        <v>70</v>
      </c>
      <c r="I94" s="4"/>
      <c r="J94" s="4"/>
      <c r="K94" s="4">
        <v>228</v>
      </c>
      <c r="L94" s="4">
        <v>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216</v>
      </c>
      <c r="F95" s="4">
        <f>ROUND(Source!AP86,O95)</f>
        <v>0</v>
      </c>
      <c r="G95" s="4" t="s">
        <v>71</v>
      </c>
      <c r="H95" s="4" t="s">
        <v>72</v>
      </c>
      <c r="I95" s="4"/>
      <c r="J95" s="4"/>
      <c r="K95" s="4">
        <v>216</v>
      </c>
      <c r="L95" s="4">
        <v>8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223</v>
      </c>
      <c r="F96" s="4">
        <f>ROUND(Source!AQ86,O96)</f>
        <v>0</v>
      </c>
      <c r="G96" s="4" t="s">
        <v>73</v>
      </c>
      <c r="H96" s="4" t="s">
        <v>74</v>
      </c>
      <c r="I96" s="4"/>
      <c r="J96" s="4"/>
      <c r="K96" s="4">
        <v>223</v>
      </c>
      <c r="L96" s="4">
        <v>9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1</v>
      </c>
      <c r="E97" s="4">
        <v>229</v>
      </c>
      <c r="F97" s="4">
        <f>ROUND(Source!AZ86,O97)</f>
        <v>0</v>
      </c>
      <c r="G97" s="4" t="s">
        <v>75</v>
      </c>
      <c r="H97" s="4" t="s">
        <v>76</v>
      </c>
      <c r="I97" s="4"/>
      <c r="J97" s="4"/>
      <c r="K97" s="4">
        <v>229</v>
      </c>
      <c r="L97" s="4">
        <v>10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1</v>
      </c>
      <c r="E98" s="4">
        <v>203</v>
      </c>
      <c r="F98" s="4">
        <f>ROUND(Source!Q86,O98)</f>
        <v>64579.79</v>
      </c>
      <c r="G98" s="4" t="s">
        <v>77</v>
      </c>
      <c r="H98" s="4" t="s">
        <v>78</v>
      </c>
      <c r="I98" s="4"/>
      <c r="J98" s="4"/>
      <c r="K98" s="4">
        <v>203</v>
      </c>
      <c r="L98" s="4">
        <v>11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1</v>
      </c>
      <c r="E99" s="4">
        <v>231</v>
      </c>
      <c r="F99" s="4">
        <f>ROUND(Source!BB86,O99)</f>
        <v>0</v>
      </c>
      <c r="G99" s="4" t="s">
        <v>79</v>
      </c>
      <c r="H99" s="4" t="s">
        <v>80</v>
      </c>
      <c r="I99" s="4"/>
      <c r="J99" s="4"/>
      <c r="K99" s="4">
        <v>231</v>
      </c>
      <c r="L99" s="4">
        <v>12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1</v>
      </c>
      <c r="E100" s="4">
        <v>204</v>
      </c>
      <c r="F100" s="4">
        <f>ROUND(Source!R86,O100)</f>
        <v>26887.33</v>
      </c>
      <c r="G100" s="4" t="s">
        <v>81</v>
      </c>
      <c r="H100" s="4" t="s">
        <v>82</v>
      </c>
      <c r="I100" s="4"/>
      <c r="J100" s="4"/>
      <c r="K100" s="4">
        <v>204</v>
      </c>
      <c r="L100" s="4">
        <v>13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1</v>
      </c>
      <c r="E101" s="4">
        <v>205</v>
      </c>
      <c r="F101" s="4">
        <f>ROUND(Source!S86,O101)</f>
        <v>391378</v>
      </c>
      <c r="G101" s="4" t="s">
        <v>83</v>
      </c>
      <c r="H101" s="4" t="s">
        <v>84</v>
      </c>
      <c r="I101" s="4"/>
      <c r="J101" s="4"/>
      <c r="K101" s="4">
        <v>205</v>
      </c>
      <c r="L101" s="4">
        <v>14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1</v>
      </c>
      <c r="E102" s="4">
        <v>232</v>
      </c>
      <c r="F102" s="4">
        <f>ROUND(Source!BC86,O102)</f>
        <v>0</v>
      </c>
      <c r="G102" s="4" t="s">
        <v>85</v>
      </c>
      <c r="H102" s="4" t="s">
        <v>86</v>
      </c>
      <c r="I102" s="4"/>
      <c r="J102" s="4"/>
      <c r="K102" s="4">
        <v>232</v>
      </c>
      <c r="L102" s="4">
        <v>15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1</v>
      </c>
      <c r="E103" s="4">
        <v>214</v>
      </c>
      <c r="F103" s="4">
        <f>ROUND(Source!AS86,O103)</f>
        <v>14212208.609999999</v>
      </c>
      <c r="G103" s="4" t="s">
        <v>87</v>
      </c>
      <c r="H103" s="4" t="s">
        <v>88</v>
      </c>
      <c r="I103" s="4"/>
      <c r="J103" s="4"/>
      <c r="K103" s="4">
        <v>214</v>
      </c>
      <c r="L103" s="4">
        <v>16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1</v>
      </c>
      <c r="E104" s="4">
        <v>215</v>
      </c>
      <c r="F104" s="4">
        <f>ROUND(Source!AT86,O104)</f>
        <v>0</v>
      </c>
      <c r="G104" s="4" t="s">
        <v>89</v>
      </c>
      <c r="H104" s="4" t="s">
        <v>90</v>
      </c>
      <c r="I104" s="4"/>
      <c r="J104" s="4"/>
      <c r="K104" s="4">
        <v>215</v>
      </c>
      <c r="L104" s="4">
        <v>17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1</v>
      </c>
      <c r="E105" s="4">
        <v>217</v>
      </c>
      <c r="F105" s="4">
        <f>ROUND(Source!AU86,O105)</f>
        <v>30396.34</v>
      </c>
      <c r="G105" s="4" t="s">
        <v>91</v>
      </c>
      <c r="H105" s="4" t="s">
        <v>92</v>
      </c>
      <c r="I105" s="4"/>
      <c r="J105" s="4"/>
      <c r="K105" s="4">
        <v>217</v>
      </c>
      <c r="L105" s="4">
        <v>18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1</v>
      </c>
      <c r="E106" s="4">
        <v>230</v>
      </c>
      <c r="F106" s="4">
        <f>ROUND(Source!BA86,O106)</f>
        <v>0</v>
      </c>
      <c r="G106" s="4" t="s">
        <v>93</v>
      </c>
      <c r="H106" s="4" t="s">
        <v>94</v>
      </c>
      <c r="I106" s="4"/>
      <c r="J106" s="4"/>
      <c r="K106" s="4">
        <v>230</v>
      </c>
      <c r="L106" s="4">
        <v>19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1</v>
      </c>
      <c r="E107" s="4">
        <v>206</v>
      </c>
      <c r="F107" s="4">
        <f>ROUND(Source!T86,O107)</f>
        <v>0</v>
      </c>
      <c r="G107" s="4" t="s">
        <v>95</v>
      </c>
      <c r="H107" s="4" t="s">
        <v>96</v>
      </c>
      <c r="I107" s="4"/>
      <c r="J107" s="4"/>
      <c r="K107" s="4">
        <v>206</v>
      </c>
      <c r="L107" s="4">
        <v>20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1</v>
      </c>
      <c r="E108" s="4">
        <v>207</v>
      </c>
      <c r="F108" s="4">
        <f>Source!U86</f>
        <v>1852.8980000000001</v>
      </c>
      <c r="G108" s="4" t="s">
        <v>97</v>
      </c>
      <c r="H108" s="4" t="s">
        <v>98</v>
      </c>
      <c r="I108" s="4"/>
      <c r="J108" s="4"/>
      <c r="K108" s="4">
        <v>207</v>
      </c>
      <c r="L108" s="4">
        <v>21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1</v>
      </c>
      <c r="E109" s="4">
        <v>208</v>
      </c>
      <c r="F109" s="4">
        <f>Source!V86</f>
        <v>90.212000000000003</v>
      </c>
      <c r="G109" s="4" t="s">
        <v>99</v>
      </c>
      <c r="H109" s="4" t="s">
        <v>100</v>
      </c>
      <c r="I109" s="4"/>
      <c r="J109" s="4"/>
      <c r="K109" s="4">
        <v>208</v>
      </c>
      <c r="L109" s="4">
        <v>22</v>
      </c>
      <c r="M109" s="4">
        <v>3</v>
      </c>
      <c r="N109" s="4" t="s">
        <v>3</v>
      </c>
      <c r="O109" s="4">
        <v>-1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1</v>
      </c>
      <c r="E110" s="4">
        <v>209</v>
      </c>
      <c r="F110" s="4">
        <f>ROUND(Source!W86,O110)</f>
        <v>0</v>
      </c>
      <c r="G110" s="4" t="s">
        <v>101</v>
      </c>
      <c r="H110" s="4" t="s">
        <v>102</v>
      </c>
      <c r="I110" s="4"/>
      <c r="J110" s="4"/>
      <c r="K110" s="4">
        <v>209</v>
      </c>
      <c r="L110" s="4">
        <v>23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1</v>
      </c>
      <c r="E111" s="4">
        <v>210</v>
      </c>
      <c r="F111" s="4">
        <f>ROUND(Source!X86,O111)</f>
        <v>413648.25</v>
      </c>
      <c r="G111" s="4" t="s">
        <v>103</v>
      </c>
      <c r="H111" s="4" t="s">
        <v>104</v>
      </c>
      <c r="I111" s="4"/>
      <c r="J111" s="4"/>
      <c r="K111" s="4">
        <v>210</v>
      </c>
      <c r="L111" s="4">
        <v>24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1</v>
      </c>
      <c r="E112" s="4">
        <v>211</v>
      </c>
      <c r="F112" s="4">
        <f>ROUND(Source!Y86,O112)</f>
        <v>300862.7</v>
      </c>
      <c r="G112" s="4" t="s">
        <v>105</v>
      </c>
      <c r="H112" s="4" t="s">
        <v>106</v>
      </c>
      <c r="I112" s="4"/>
      <c r="J112" s="4"/>
      <c r="K112" s="4">
        <v>211</v>
      </c>
      <c r="L112" s="4">
        <v>25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06" x14ac:dyDescent="0.2">
      <c r="A113" s="4">
        <v>50</v>
      </c>
      <c r="B113" s="4">
        <v>0</v>
      </c>
      <c r="C113" s="4">
        <v>0</v>
      </c>
      <c r="D113" s="4">
        <v>1</v>
      </c>
      <c r="E113" s="4">
        <v>224</v>
      </c>
      <c r="F113" s="4">
        <f>ROUND(Source!AR86,O113)</f>
        <v>14242604.949999999</v>
      </c>
      <c r="G113" s="4" t="s">
        <v>107</v>
      </c>
      <c r="H113" s="4" t="s">
        <v>108</v>
      </c>
      <c r="I113" s="4"/>
      <c r="J113" s="4"/>
      <c r="K113" s="4">
        <v>224</v>
      </c>
      <c r="L113" s="4">
        <v>26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5" spans="1:206" x14ac:dyDescent="0.2">
      <c r="A115" s="2">
        <v>51</v>
      </c>
      <c r="B115" s="2">
        <f>B20</f>
        <v>1</v>
      </c>
      <c r="C115" s="2">
        <f>A20</f>
        <v>3</v>
      </c>
      <c r="D115" s="2">
        <f>ROW(A20)</f>
        <v>20</v>
      </c>
      <c r="E115" s="2"/>
      <c r="F115" s="2" t="str">
        <f>IF(F20&lt;&gt;"",F20,"")</f>
        <v>07-01-01</v>
      </c>
      <c r="G115" s="2" t="str">
        <f>IF(G20&lt;&gt;"",G20,"")</f>
        <v>Новая локальная смета</v>
      </c>
      <c r="H115" s="2">
        <v>0</v>
      </c>
      <c r="I115" s="2"/>
      <c r="J115" s="2"/>
      <c r="K115" s="2"/>
      <c r="L115" s="2"/>
      <c r="M115" s="2"/>
      <c r="N115" s="2"/>
      <c r="O115" s="2">
        <f t="shared" ref="O115:T115" si="80">ROUND(O36+O86+AB115,2)</f>
        <v>13482015.789999999</v>
      </c>
      <c r="P115" s="2">
        <f t="shared" si="80"/>
        <v>12949674.039999999</v>
      </c>
      <c r="Q115" s="2">
        <f t="shared" si="80"/>
        <v>72820.13</v>
      </c>
      <c r="R115" s="2">
        <f t="shared" si="80"/>
        <v>30052.22</v>
      </c>
      <c r="S115" s="2">
        <f t="shared" si="80"/>
        <v>459521.62</v>
      </c>
      <c r="T115" s="2">
        <f t="shared" si="80"/>
        <v>0</v>
      </c>
      <c r="U115" s="2">
        <f>U36+U86+AH115</f>
        <v>2195.1771680000002</v>
      </c>
      <c r="V115" s="2">
        <f>V36+V86+AI115</f>
        <v>101.836832</v>
      </c>
      <c r="W115" s="2">
        <f>ROUND(W36+W86+AJ115,2)</f>
        <v>0</v>
      </c>
      <c r="X115" s="2">
        <f>ROUND(X36+X86+AK115,2)</f>
        <v>499931.55</v>
      </c>
      <c r="Y115" s="2">
        <f>ROUND(Y36+Y86+AL115,2)</f>
        <v>355057.17</v>
      </c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>
        <f t="shared" ref="AO115:BC115" si="81">ROUND(AO36+AO86+BX115,2)</f>
        <v>0</v>
      </c>
      <c r="AP115" s="2">
        <f t="shared" si="81"/>
        <v>0</v>
      </c>
      <c r="AQ115" s="2">
        <f t="shared" si="81"/>
        <v>0</v>
      </c>
      <c r="AR115" s="2">
        <f t="shared" si="81"/>
        <v>14507333.34</v>
      </c>
      <c r="AS115" s="2">
        <f t="shared" si="81"/>
        <v>14456436.119999999</v>
      </c>
      <c r="AT115" s="2">
        <f t="shared" si="81"/>
        <v>0</v>
      </c>
      <c r="AU115" s="2">
        <f t="shared" si="81"/>
        <v>50897.22</v>
      </c>
      <c r="AV115" s="2">
        <f t="shared" si="81"/>
        <v>12949674.039999999</v>
      </c>
      <c r="AW115" s="2">
        <f t="shared" si="81"/>
        <v>12949674.039999999</v>
      </c>
      <c r="AX115" s="2">
        <f t="shared" si="81"/>
        <v>0</v>
      </c>
      <c r="AY115" s="2">
        <f t="shared" si="81"/>
        <v>12949674.039999999</v>
      </c>
      <c r="AZ115" s="2">
        <f t="shared" si="81"/>
        <v>0</v>
      </c>
      <c r="BA115" s="2">
        <f t="shared" si="81"/>
        <v>0</v>
      </c>
      <c r="BB115" s="2">
        <f t="shared" si="81"/>
        <v>0</v>
      </c>
      <c r="BC115" s="2">
        <f t="shared" si="81"/>
        <v>0</v>
      </c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>
        <v>0</v>
      </c>
    </row>
    <row r="117" spans="1:206" x14ac:dyDescent="0.2">
      <c r="A117" s="4">
        <v>50</v>
      </c>
      <c r="B117" s="4">
        <v>0</v>
      </c>
      <c r="C117" s="4">
        <v>0</v>
      </c>
      <c r="D117" s="4">
        <v>1</v>
      </c>
      <c r="E117" s="4">
        <v>201</v>
      </c>
      <c r="F117" s="4">
        <f>ROUND(Source!O115,O117)</f>
        <v>13482015.789999999</v>
      </c>
      <c r="G117" s="4" t="s">
        <v>57</v>
      </c>
      <c r="H117" s="4" t="s">
        <v>58</v>
      </c>
      <c r="I117" s="4"/>
      <c r="J117" s="4"/>
      <c r="K117" s="4">
        <v>201</v>
      </c>
      <c r="L117" s="4">
        <v>1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06" x14ac:dyDescent="0.2">
      <c r="A118" s="4">
        <v>50</v>
      </c>
      <c r="B118" s="4">
        <v>0</v>
      </c>
      <c r="C118" s="4">
        <v>0</v>
      </c>
      <c r="D118" s="4">
        <v>1</v>
      </c>
      <c r="E118" s="4">
        <v>202</v>
      </c>
      <c r="F118" s="4">
        <f>ROUND(Source!P115,O118)</f>
        <v>12949674.039999999</v>
      </c>
      <c r="G118" s="4" t="s">
        <v>59</v>
      </c>
      <c r="H118" s="4" t="s">
        <v>60</v>
      </c>
      <c r="I118" s="4"/>
      <c r="J118" s="4"/>
      <c r="K118" s="4">
        <v>202</v>
      </c>
      <c r="L118" s="4">
        <v>2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06" x14ac:dyDescent="0.2">
      <c r="A119" s="4">
        <v>50</v>
      </c>
      <c r="B119" s="4">
        <v>0</v>
      </c>
      <c r="C119" s="4">
        <v>0</v>
      </c>
      <c r="D119" s="4">
        <v>1</v>
      </c>
      <c r="E119" s="4">
        <v>222</v>
      </c>
      <c r="F119" s="4">
        <f>ROUND(Source!AO115,O119)</f>
        <v>0</v>
      </c>
      <c r="G119" s="4" t="s">
        <v>61</v>
      </c>
      <c r="H119" s="4" t="s">
        <v>62</v>
      </c>
      <c r="I119" s="4"/>
      <c r="J119" s="4"/>
      <c r="K119" s="4">
        <v>222</v>
      </c>
      <c r="L119" s="4">
        <v>3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06" x14ac:dyDescent="0.2">
      <c r="A120" s="4">
        <v>50</v>
      </c>
      <c r="B120" s="4">
        <v>0</v>
      </c>
      <c r="C120" s="4">
        <v>0</v>
      </c>
      <c r="D120" s="4">
        <v>1</v>
      </c>
      <c r="E120" s="4">
        <v>225</v>
      </c>
      <c r="F120" s="4">
        <f>ROUND(Source!AV115,O120)</f>
        <v>12949674.039999999</v>
      </c>
      <c r="G120" s="4" t="s">
        <v>63</v>
      </c>
      <c r="H120" s="4" t="s">
        <v>64</v>
      </c>
      <c r="I120" s="4"/>
      <c r="J120" s="4"/>
      <c r="K120" s="4">
        <v>225</v>
      </c>
      <c r="L120" s="4">
        <v>4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06" x14ac:dyDescent="0.2">
      <c r="A121" s="4">
        <v>50</v>
      </c>
      <c r="B121" s="4">
        <v>0</v>
      </c>
      <c r="C121" s="4">
        <v>0</v>
      </c>
      <c r="D121" s="4">
        <v>1</v>
      </c>
      <c r="E121" s="4">
        <v>226</v>
      </c>
      <c r="F121" s="4">
        <f>ROUND(Source!AW115,O121)</f>
        <v>12949674.039999999</v>
      </c>
      <c r="G121" s="4" t="s">
        <v>65</v>
      </c>
      <c r="H121" s="4" t="s">
        <v>66</v>
      </c>
      <c r="I121" s="4"/>
      <c r="J121" s="4"/>
      <c r="K121" s="4">
        <v>226</v>
      </c>
      <c r="L121" s="4">
        <v>5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06" x14ac:dyDescent="0.2">
      <c r="A122" s="4">
        <v>50</v>
      </c>
      <c r="B122" s="4">
        <v>0</v>
      </c>
      <c r="C122" s="4">
        <v>0</v>
      </c>
      <c r="D122" s="4">
        <v>1</v>
      </c>
      <c r="E122" s="4">
        <v>227</v>
      </c>
      <c r="F122" s="4">
        <f>ROUND(Source!AX115,O122)</f>
        <v>0</v>
      </c>
      <c r="G122" s="4" t="s">
        <v>67</v>
      </c>
      <c r="H122" s="4" t="s">
        <v>68</v>
      </c>
      <c r="I122" s="4"/>
      <c r="J122" s="4"/>
      <c r="K122" s="4">
        <v>227</v>
      </c>
      <c r="L122" s="4">
        <v>6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06" x14ac:dyDescent="0.2">
      <c r="A123" s="4">
        <v>50</v>
      </c>
      <c r="B123" s="4">
        <v>0</v>
      </c>
      <c r="C123" s="4">
        <v>0</v>
      </c>
      <c r="D123" s="4">
        <v>1</v>
      </c>
      <c r="E123" s="4">
        <v>228</v>
      </c>
      <c r="F123" s="4">
        <f>ROUND(Source!AY115,O123)</f>
        <v>12949674.039999999</v>
      </c>
      <c r="G123" s="4" t="s">
        <v>69</v>
      </c>
      <c r="H123" s="4" t="s">
        <v>70</v>
      </c>
      <c r="I123" s="4"/>
      <c r="J123" s="4"/>
      <c r="K123" s="4">
        <v>228</v>
      </c>
      <c r="L123" s="4">
        <v>7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06" x14ac:dyDescent="0.2">
      <c r="A124" s="4">
        <v>50</v>
      </c>
      <c r="B124" s="4">
        <v>0</v>
      </c>
      <c r="C124" s="4">
        <v>0</v>
      </c>
      <c r="D124" s="4">
        <v>1</v>
      </c>
      <c r="E124" s="4">
        <v>216</v>
      </c>
      <c r="F124" s="4">
        <f>ROUND(Source!AP115,O124)</f>
        <v>0</v>
      </c>
      <c r="G124" s="4" t="s">
        <v>71</v>
      </c>
      <c r="H124" s="4" t="s">
        <v>72</v>
      </c>
      <c r="I124" s="4"/>
      <c r="J124" s="4"/>
      <c r="K124" s="4">
        <v>216</v>
      </c>
      <c r="L124" s="4">
        <v>8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06" x14ac:dyDescent="0.2">
      <c r="A125" s="4">
        <v>50</v>
      </c>
      <c r="B125" s="4">
        <v>0</v>
      </c>
      <c r="C125" s="4">
        <v>0</v>
      </c>
      <c r="D125" s="4">
        <v>1</v>
      </c>
      <c r="E125" s="4">
        <v>223</v>
      </c>
      <c r="F125" s="4">
        <f>ROUND(Source!AQ115,O125)</f>
        <v>0</v>
      </c>
      <c r="G125" s="4" t="s">
        <v>73</v>
      </c>
      <c r="H125" s="4" t="s">
        <v>74</v>
      </c>
      <c r="I125" s="4"/>
      <c r="J125" s="4"/>
      <c r="K125" s="4">
        <v>223</v>
      </c>
      <c r="L125" s="4">
        <v>9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06" x14ac:dyDescent="0.2">
      <c r="A126" s="4">
        <v>50</v>
      </c>
      <c r="B126" s="4">
        <v>0</v>
      </c>
      <c r="C126" s="4">
        <v>0</v>
      </c>
      <c r="D126" s="4">
        <v>1</v>
      </c>
      <c r="E126" s="4">
        <v>229</v>
      </c>
      <c r="F126" s="4">
        <f>ROUND(Source!AZ115,O126)</f>
        <v>0</v>
      </c>
      <c r="G126" s="4" t="s">
        <v>75</v>
      </c>
      <c r="H126" s="4" t="s">
        <v>76</v>
      </c>
      <c r="I126" s="4"/>
      <c r="J126" s="4"/>
      <c r="K126" s="4">
        <v>229</v>
      </c>
      <c r="L126" s="4">
        <v>10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06" x14ac:dyDescent="0.2">
      <c r="A127" s="4">
        <v>50</v>
      </c>
      <c r="B127" s="4">
        <v>0</v>
      </c>
      <c r="C127" s="4">
        <v>0</v>
      </c>
      <c r="D127" s="4">
        <v>1</v>
      </c>
      <c r="E127" s="4">
        <v>203</v>
      </c>
      <c r="F127" s="4">
        <f>ROUND(Source!Q115,O127)</f>
        <v>72820.13</v>
      </c>
      <c r="G127" s="4" t="s">
        <v>77</v>
      </c>
      <c r="H127" s="4" t="s">
        <v>78</v>
      </c>
      <c r="I127" s="4"/>
      <c r="J127" s="4"/>
      <c r="K127" s="4">
        <v>203</v>
      </c>
      <c r="L127" s="4">
        <v>11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06" x14ac:dyDescent="0.2">
      <c r="A128" s="4">
        <v>50</v>
      </c>
      <c r="B128" s="4">
        <v>0</v>
      </c>
      <c r="C128" s="4">
        <v>0</v>
      </c>
      <c r="D128" s="4">
        <v>1</v>
      </c>
      <c r="E128" s="4">
        <v>231</v>
      </c>
      <c r="F128" s="4">
        <f>ROUND(Source!BB115,O128)</f>
        <v>0</v>
      </c>
      <c r="G128" s="4" t="s">
        <v>79</v>
      </c>
      <c r="H128" s="4" t="s">
        <v>80</v>
      </c>
      <c r="I128" s="4"/>
      <c r="J128" s="4"/>
      <c r="K128" s="4">
        <v>231</v>
      </c>
      <c r="L128" s="4">
        <v>12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204</v>
      </c>
      <c r="F129" s="4">
        <f>ROUND(Source!R115,O129)</f>
        <v>30052.22</v>
      </c>
      <c r="G129" s="4" t="s">
        <v>81</v>
      </c>
      <c r="H129" s="4" t="s">
        <v>82</v>
      </c>
      <c r="I129" s="4"/>
      <c r="J129" s="4"/>
      <c r="K129" s="4">
        <v>204</v>
      </c>
      <c r="L129" s="4">
        <v>13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205</v>
      </c>
      <c r="F130" s="4">
        <f>ROUND(Source!S115,O130)</f>
        <v>459521.62</v>
      </c>
      <c r="G130" s="4" t="s">
        <v>83</v>
      </c>
      <c r="H130" s="4" t="s">
        <v>84</v>
      </c>
      <c r="I130" s="4"/>
      <c r="J130" s="4"/>
      <c r="K130" s="4">
        <v>205</v>
      </c>
      <c r="L130" s="4">
        <v>14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232</v>
      </c>
      <c r="F131" s="4">
        <f>ROUND(Source!BC115,O131)</f>
        <v>0</v>
      </c>
      <c r="G131" s="4" t="s">
        <v>85</v>
      </c>
      <c r="H131" s="4" t="s">
        <v>86</v>
      </c>
      <c r="I131" s="4"/>
      <c r="J131" s="4"/>
      <c r="K131" s="4">
        <v>232</v>
      </c>
      <c r="L131" s="4">
        <v>15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214</v>
      </c>
      <c r="F132" s="4">
        <f>ROUND(Source!AS115,O132)</f>
        <v>14456436.119999999</v>
      </c>
      <c r="G132" s="4" t="s">
        <v>87</v>
      </c>
      <c r="H132" s="4" t="s">
        <v>88</v>
      </c>
      <c r="I132" s="4"/>
      <c r="J132" s="4"/>
      <c r="K132" s="4">
        <v>214</v>
      </c>
      <c r="L132" s="4">
        <v>16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215</v>
      </c>
      <c r="F133" s="4">
        <f>ROUND(Source!AT115,O133)</f>
        <v>0</v>
      </c>
      <c r="G133" s="4" t="s">
        <v>89</v>
      </c>
      <c r="H133" s="4" t="s">
        <v>90</v>
      </c>
      <c r="I133" s="4"/>
      <c r="J133" s="4"/>
      <c r="K133" s="4">
        <v>215</v>
      </c>
      <c r="L133" s="4">
        <v>17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217</v>
      </c>
      <c r="F134" s="4">
        <f>ROUND(Source!AU115,O134)</f>
        <v>50897.22</v>
      </c>
      <c r="G134" s="4" t="s">
        <v>91</v>
      </c>
      <c r="H134" s="4" t="s">
        <v>92</v>
      </c>
      <c r="I134" s="4"/>
      <c r="J134" s="4"/>
      <c r="K134" s="4">
        <v>217</v>
      </c>
      <c r="L134" s="4">
        <v>18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230</v>
      </c>
      <c r="F135" s="4">
        <f>ROUND(Source!BA115,O135)</f>
        <v>0</v>
      </c>
      <c r="G135" s="4" t="s">
        <v>93</v>
      </c>
      <c r="H135" s="4" t="s">
        <v>94</v>
      </c>
      <c r="I135" s="4"/>
      <c r="J135" s="4"/>
      <c r="K135" s="4">
        <v>230</v>
      </c>
      <c r="L135" s="4">
        <v>19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206</v>
      </c>
      <c r="F136" s="4">
        <f>ROUND(Source!T115,O136)</f>
        <v>0</v>
      </c>
      <c r="G136" s="4" t="s">
        <v>95</v>
      </c>
      <c r="H136" s="4" t="s">
        <v>96</v>
      </c>
      <c r="I136" s="4"/>
      <c r="J136" s="4"/>
      <c r="K136" s="4">
        <v>206</v>
      </c>
      <c r="L136" s="4">
        <v>20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207</v>
      </c>
      <c r="F137" s="4">
        <f>Source!U115</f>
        <v>2195.1771680000002</v>
      </c>
      <c r="G137" s="4" t="s">
        <v>97</v>
      </c>
      <c r="H137" s="4" t="s">
        <v>98</v>
      </c>
      <c r="I137" s="4"/>
      <c r="J137" s="4"/>
      <c r="K137" s="4">
        <v>207</v>
      </c>
      <c r="L137" s="4">
        <v>21</v>
      </c>
      <c r="M137" s="4">
        <v>3</v>
      </c>
      <c r="N137" s="4" t="s">
        <v>3</v>
      </c>
      <c r="O137" s="4">
        <v>-1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208</v>
      </c>
      <c r="F138" s="4">
        <f>Source!V115</f>
        <v>101.836832</v>
      </c>
      <c r="G138" s="4" t="s">
        <v>99</v>
      </c>
      <c r="H138" s="4" t="s">
        <v>100</v>
      </c>
      <c r="I138" s="4"/>
      <c r="J138" s="4"/>
      <c r="K138" s="4">
        <v>208</v>
      </c>
      <c r="L138" s="4">
        <v>22</v>
      </c>
      <c r="M138" s="4">
        <v>3</v>
      </c>
      <c r="N138" s="4" t="s">
        <v>3</v>
      </c>
      <c r="O138" s="4">
        <v>-1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209</v>
      </c>
      <c r="F139" s="4">
        <f>ROUND(Source!W115,O139)</f>
        <v>0</v>
      </c>
      <c r="G139" s="4" t="s">
        <v>101</v>
      </c>
      <c r="H139" s="4" t="s">
        <v>102</v>
      </c>
      <c r="I139" s="4"/>
      <c r="J139" s="4"/>
      <c r="K139" s="4">
        <v>209</v>
      </c>
      <c r="L139" s="4">
        <v>23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210</v>
      </c>
      <c r="F140" s="4">
        <f>ROUND(Source!X115,O140)</f>
        <v>499931.55</v>
      </c>
      <c r="G140" s="4" t="s">
        <v>103</v>
      </c>
      <c r="H140" s="4" t="s">
        <v>104</v>
      </c>
      <c r="I140" s="4"/>
      <c r="J140" s="4"/>
      <c r="K140" s="4">
        <v>210</v>
      </c>
      <c r="L140" s="4">
        <v>24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211</v>
      </c>
      <c r="F141" s="4">
        <f>ROUND(Source!Y115,O141)</f>
        <v>355057.17</v>
      </c>
      <c r="G141" s="4" t="s">
        <v>105</v>
      </c>
      <c r="H141" s="4" t="s">
        <v>106</v>
      </c>
      <c r="I141" s="4"/>
      <c r="J141" s="4"/>
      <c r="K141" s="4">
        <v>211</v>
      </c>
      <c r="L141" s="4">
        <v>25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224</v>
      </c>
      <c r="F142" s="4">
        <f>ROUND(Source!AR115,O142)</f>
        <v>14507333.34</v>
      </c>
      <c r="G142" s="4" t="s">
        <v>107</v>
      </c>
      <c r="H142" s="4" t="s">
        <v>108</v>
      </c>
      <c r="I142" s="4"/>
      <c r="J142" s="4"/>
      <c r="K142" s="4">
        <v>224</v>
      </c>
      <c r="L142" s="4">
        <v>26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4" spans="1:206" x14ac:dyDescent="0.2">
      <c r="A144" s="2">
        <v>51</v>
      </c>
      <c r="B144" s="2">
        <f>B12</f>
        <v>202</v>
      </c>
      <c r="C144" s="2">
        <f>A12</f>
        <v>1</v>
      </c>
      <c r="D144" s="2">
        <f>ROW(A12)</f>
        <v>12</v>
      </c>
      <c r="E144" s="2"/>
      <c r="F144" s="2" t="str">
        <f>IF(F12&lt;&gt;"",F12,"")</f>
        <v>Новый объект</v>
      </c>
      <c r="G144" s="2" t="str">
        <f>IF(G12&lt;&gt;"",G12,"")</f>
        <v>Выполнение работ по озеленению объекта: "Внутригородские системы инженерно-технического обеспечения, комплексное благоустройство и озеленение инновационного центра "Сколково". Дороги и магистральные инженерные коммуникации по Бульвару"</v>
      </c>
      <c r="H144" s="2">
        <v>0</v>
      </c>
      <c r="I144" s="2"/>
      <c r="J144" s="2"/>
      <c r="K144" s="2"/>
      <c r="L144" s="2"/>
      <c r="M144" s="2"/>
      <c r="N144" s="2"/>
      <c r="O144" s="2">
        <f t="shared" ref="O144:T144" si="82">ROUND(O115,2)</f>
        <v>13482015.789999999</v>
      </c>
      <c r="P144" s="2">
        <f t="shared" si="82"/>
        <v>12949674.039999999</v>
      </c>
      <c r="Q144" s="2">
        <f t="shared" si="82"/>
        <v>72820.13</v>
      </c>
      <c r="R144" s="2">
        <f t="shared" si="82"/>
        <v>30052.22</v>
      </c>
      <c r="S144" s="2">
        <f t="shared" si="82"/>
        <v>459521.62</v>
      </c>
      <c r="T144" s="2">
        <f t="shared" si="82"/>
        <v>0</v>
      </c>
      <c r="U144" s="2">
        <f>U115</f>
        <v>2195.1771680000002</v>
      </c>
      <c r="V144" s="2">
        <f>V115</f>
        <v>101.836832</v>
      </c>
      <c r="W144" s="2">
        <f>ROUND(W115,2)</f>
        <v>0</v>
      </c>
      <c r="X144" s="2">
        <f>ROUND(X115,2)</f>
        <v>499931.55</v>
      </c>
      <c r="Y144" s="2">
        <f>ROUND(Y115,2)</f>
        <v>355057.17</v>
      </c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>
        <f t="shared" ref="AO144:BC144" si="83">ROUND(AO115,2)</f>
        <v>0</v>
      </c>
      <c r="AP144" s="2">
        <f t="shared" si="83"/>
        <v>0</v>
      </c>
      <c r="AQ144" s="2">
        <f t="shared" si="83"/>
        <v>0</v>
      </c>
      <c r="AR144" s="2">
        <f t="shared" si="83"/>
        <v>14507333.34</v>
      </c>
      <c r="AS144" s="2">
        <f t="shared" si="83"/>
        <v>14456436.119999999</v>
      </c>
      <c r="AT144" s="2">
        <f t="shared" si="83"/>
        <v>0</v>
      </c>
      <c r="AU144" s="2">
        <f t="shared" si="83"/>
        <v>50897.22</v>
      </c>
      <c r="AV144" s="2">
        <f t="shared" si="83"/>
        <v>12949674.039999999</v>
      </c>
      <c r="AW144" s="2">
        <f t="shared" si="83"/>
        <v>12949674.039999999</v>
      </c>
      <c r="AX144" s="2">
        <f t="shared" si="83"/>
        <v>0</v>
      </c>
      <c r="AY144" s="2">
        <f t="shared" si="83"/>
        <v>12949674.039999999</v>
      </c>
      <c r="AZ144" s="2">
        <f t="shared" si="83"/>
        <v>0</v>
      </c>
      <c r="BA144" s="2">
        <f t="shared" si="83"/>
        <v>0</v>
      </c>
      <c r="BB144" s="2">
        <f t="shared" si="83"/>
        <v>0</v>
      </c>
      <c r="BC144" s="2">
        <f t="shared" si="83"/>
        <v>0</v>
      </c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>
        <v>0</v>
      </c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201</v>
      </c>
      <c r="F146" s="4">
        <f>ROUND(Source!O144,O146)</f>
        <v>13482015.789999999</v>
      </c>
      <c r="G146" s="4" t="s">
        <v>57</v>
      </c>
      <c r="H146" s="4" t="s">
        <v>58</v>
      </c>
      <c r="I146" s="4"/>
      <c r="J146" s="4"/>
      <c r="K146" s="4">
        <v>201</v>
      </c>
      <c r="L146" s="4">
        <v>1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202</v>
      </c>
      <c r="F147" s="4">
        <f>ROUND(Source!P144,O147)</f>
        <v>12949674.039999999</v>
      </c>
      <c r="G147" s="4" t="s">
        <v>59</v>
      </c>
      <c r="H147" s="4" t="s">
        <v>60</v>
      </c>
      <c r="I147" s="4"/>
      <c r="J147" s="4"/>
      <c r="K147" s="4">
        <v>202</v>
      </c>
      <c r="L147" s="4">
        <v>2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222</v>
      </c>
      <c r="F148" s="4">
        <f>ROUND(Source!AO144,O148)</f>
        <v>0</v>
      </c>
      <c r="G148" s="4" t="s">
        <v>61</v>
      </c>
      <c r="H148" s="4" t="s">
        <v>62</v>
      </c>
      <c r="I148" s="4"/>
      <c r="J148" s="4"/>
      <c r="K148" s="4">
        <v>222</v>
      </c>
      <c r="L148" s="4">
        <v>3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225</v>
      </c>
      <c r="F149" s="4">
        <f>ROUND(Source!AV144,O149)</f>
        <v>12949674.039999999</v>
      </c>
      <c r="G149" s="4" t="s">
        <v>63</v>
      </c>
      <c r="H149" s="4" t="s">
        <v>64</v>
      </c>
      <c r="I149" s="4"/>
      <c r="J149" s="4"/>
      <c r="K149" s="4">
        <v>225</v>
      </c>
      <c r="L149" s="4">
        <v>4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226</v>
      </c>
      <c r="F150" s="4">
        <f>ROUND(Source!AW144,O150)</f>
        <v>12949674.039999999</v>
      </c>
      <c r="G150" s="4" t="s">
        <v>65</v>
      </c>
      <c r="H150" s="4" t="s">
        <v>66</v>
      </c>
      <c r="I150" s="4"/>
      <c r="J150" s="4"/>
      <c r="K150" s="4">
        <v>226</v>
      </c>
      <c r="L150" s="4">
        <v>5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227</v>
      </c>
      <c r="F151" s="4">
        <f>ROUND(Source!AX144,O151)</f>
        <v>0</v>
      </c>
      <c r="G151" s="4" t="s">
        <v>67</v>
      </c>
      <c r="H151" s="4" t="s">
        <v>68</v>
      </c>
      <c r="I151" s="4"/>
      <c r="J151" s="4"/>
      <c r="K151" s="4">
        <v>227</v>
      </c>
      <c r="L151" s="4">
        <v>6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228</v>
      </c>
      <c r="F152" s="4">
        <f>ROUND(Source!AY144,O152)</f>
        <v>12949674.039999999</v>
      </c>
      <c r="G152" s="4" t="s">
        <v>69</v>
      </c>
      <c r="H152" s="4" t="s">
        <v>70</v>
      </c>
      <c r="I152" s="4"/>
      <c r="J152" s="4"/>
      <c r="K152" s="4">
        <v>228</v>
      </c>
      <c r="L152" s="4">
        <v>7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216</v>
      </c>
      <c r="F153" s="4">
        <f>ROUND(Source!AP144,O153)</f>
        <v>0</v>
      </c>
      <c r="G153" s="4" t="s">
        <v>71</v>
      </c>
      <c r="H153" s="4" t="s">
        <v>72</v>
      </c>
      <c r="I153" s="4"/>
      <c r="J153" s="4"/>
      <c r="K153" s="4">
        <v>216</v>
      </c>
      <c r="L153" s="4">
        <v>8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223</v>
      </c>
      <c r="F154" s="4">
        <f>ROUND(Source!AQ144,O154)</f>
        <v>0</v>
      </c>
      <c r="G154" s="4" t="s">
        <v>73</v>
      </c>
      <c r="H154" s="4" t="s">
        <v>74</v>
      </c>
      <c r="I154" s="4"/>
      <c r="J154" s="4"/>
      <c r="K154" s="4">
        <v>223</v>
      </c>
      <c r="L154" s="4">
        <v>9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229</v>
      </c>
      <c r="F155" s="4">
        <f>ROUND(Source!AZ144,O155)</f>
        <v>0</v>
      </c>
      <c r="G155" s="4" t="s">
        <v>75</v>
      </c>
      <c r="H155" s="4" t="s">
        <v>76</v>
      </c>
      <c r="I155" s="4"/>
      <c r="J155" s="4"/>
      <c r="K155" s="4">
        <v>229</v>
      </c>
      <c r="L155" s="4">
        <v>10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203</v>
      </c>
      <c r="F156" s="4">
        <f>ROUND(Source!Q144,O156)</f>
        <v>72820.13</v>
      </c>
      <c r="G156" s="4" t="s">
        <v>77</v>
      </c>
      <c r="H156" s="4" t="s">
        <v>78</v>
      </c>
      <c r="I156" s="4"/>
      <c r="J156" s="4"/>
      <c r="K156" s="4">
        <v>203</v>
      </c>
      <c r="L156" s="4">
        <v>11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231</v>
      </c>
      <c r="F157" s="4">
        <f>ROUND(Source!BB144,O157)</f>
        <v>0</v>
      </c>
      <c r="G157" s="4" t="s">
        <v>79</v>
      </c>
      <c r="H157" s="4" t="s">
        <v>80</v>
      </c>
      <c r="I157" s="4"/>
      <c r="J157" s="4"/>
      <c r="K157" s="4">
        <v>231</v>
      </c>
      <c r="L157" s="4">
        <v>12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204</v>
      </c>
      <c r="F158" s="4">
        <f>ROUND(Source!R144,O158)</f>
        <v>30052.22</v>
      </c>
      <c r="G158" s="4" t="s">
        <v>81</v>
      </c>
      <c r="H158" s="4" t="s">
        <v>82</v>
      </c>
      <c r="I158" s="4"/>
      <c r="J158" s="4"/>
      <c r="K158" s="4">
        <v>204</v>
      </c>
      <c r="L158" s="4">
        <v>13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205</v>
      </c>
      <c r="F159" s="4">
        <f>ROUND(Source!S144,O159)</f>
        <v>459521.62</v>
      </c>
      <c r="G159" s="4" t="s">
        <v>83</v>
      </c>
      <c r="H159" s="4" t="s">
        <v>84</v>
      </c>
      <c r="I159" s="4"/>
      <c r="J159" s="4"/>
      <c r="K159" s="4">
        <v>205</v>
      </c>
      <c r="L159" s="4">
        <v>14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1</v>
      </c>
      <c r="E160" s="4">
        <v>232</v>
      </c>
      <c r="F160" s="4">
        <f>ROUND(Source!BC144,O160)</f>
        <v>0</v>
      </c>
      <c r="G160" s="4" t="s">
        <v>85</v>
      </c>
      <c r="H160" s="4" t="s">
        <v>86</v>
      </c>
      <c r="I160" s="4"/>
      <c r="J160" s="4"/>
      <c r="K160" s="4">
        <v>232</v>
      </c>
      <c r="L160" s="4">
        <v>15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214</v>
      </c>
      <c r="F161" s="4">
        <f>ROUND(Source!AS144,O161)</f>
        <v>14456436.119999999</v>
      </c>
      <c r="G161" s="4" t="s">
        <v>87</v>
      </c>
      <c r="H161" s="4" t="s">
        <v>88</v>
      </c>
      <c r="I161" s="4"/>
      <c r="J161" s="4"/>
      <c r="K161" s="4">
        <v>214</v>
      </c>
      <c r="L161" s="4">
        <v>16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215</v>
      </c>
      <c r="F162" s="4">
        <f>ROUND(Source!AT144,O162)</f>
        <v>0</v>
      </c>
      <c r="G162" s="4" t="s">
        <v>89</v>
      </c>
      <c r="H162" s="4" t="s">
        <v>90</v>
      </c>
      <c r="I162" s="4"/>
      <c r="J162" s="4"/>
      <c r="K162" s="4">
        <v>215</v>
      </c>
      <c r="L162" s="4">
        <v>17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217</v>
      </c>
      <c r="F163" s="4">
        <f>ROUND(Source!AU144,O163)</f>
        <v>50897.22</v>
      </c>
      <c r="G163" s="4" t="s">
        <v>91</v>
      </c>
      <c r="H163" s="4" t="s">
        <v>92</v>
      </c>
      <c r="I163" s="4"/>
      <c r="J163" s="4"/>
      <c r="K163" s="4">
        <v>217</v>
      </c>
      <c r="L163" s="4">
        <v>18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230</v>
      </c>
      <c r="F164" s="4">
        <f>ROUND(Source!BA144,O164)</f>
        <v>0</v>
      </c>
      <c r="G164" s="4" t="s">
        <v>93</v>
      </c>
      <c r="H164" s="4" t="s">
        <v>94</v>
      </c>
      <c r="I164" s="4"/>
      <c r="J164" s="4"/>
      <c r="K164" s="4">
        <v>230</v>
      </c>
      <c r="L164" s="4">
        <v>19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206</v>
      </c>
      <c r="F165" s="4">
        <f>ROUND(Source!T144,O165)</f>
        <v>0</v>
      </c>
      <c r="G165" s="4" t="s">
        <v>95</v>
      </c>
      <c r="H165" s="4" t="s">
        <v>96</v>
      </c>
      <c r="I165" s="4"/>
      <c r="J165" s="4"/>
      <c r="K165" s="4">
        <v>206</v>
      </c>
      <c r="L165" s="4">
        <v>20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207</v>
      </c>
      <c r="F166" s="4">
        <f>Source!U144</f>
        <v>2195.1771680000002</v>
      </c>
      <c r="G166" s="4" t="s">
        <v>97</v>
      </c>
      <c r="H166" s="4" t="s">
        <v>98</v>
      </c>
      <c r="I166" s="4"/>
      <c r="J166" s="4"/>
      <c r="K166" s="4">
        <v>207</v>
      </c>
      <c r="L166" s="4">
        <v>21</v>
      </c>
      <c r="M166" s="4">
        <v>3</v>
      </c>
      <c r="N166" s="4" t="s">
        <v>3</v>
      </c>
      <c r="O166" s="4">
        <v>-1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208</v>
      </c>
      <c r="F167" s="4">
        <f>Source!V144</f>
        <v>101.836832</v>
      </c>
      <c r="G167" s="4" t="s">
        <v>99</v>
      </c>
      <c r="H167" s="4" t="s">
        <v>100</v>
      </c>
      <c r="I167" s="4"/>
      <c r="J167" s="4"/>
      <c r="K167" s="4">
        <v>208</v>
      </c>
      <c r="L167" s="4">
        <v>22</v>
      </c>
      <c r="M167" s="4">
        <v>3</v>
      </c>
      <c r="N167" s="4" t="s">
        <v>3</v>
      </c>
      <c r="O167" s="4">
        <v>-1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209</v>
      </c>
      <c r="F168" s="4">
        <f>ROUND(Source!W144,O168)</f>
        <v>0</v>
      </c>
      <c r="G168" s="4" t="s">
        <v>101</v>
      </c>
      <c r="H168" s="4" t="s">
        <v>102</v>
      </c>
      <c r="I168" s="4"/>
      <c r="J168" s="4"/>
      <c r="K168" s="4">
        <v>209</v>
      </c>
      <c r="L168" s="4">
        <v>23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210</v>
      </c>
      <c r="F169" s="4">
        <f>ROUND(Source!X144,O169)</f>
        <v>499931.55</v>
      </c>
      <c r="G169" s="4" t="s">
        <v>103</v>
      </c>
      <c r="H169" s="4" t="s">
        <v>104</v>
      </c>
      <c r="I169" s="4"/>
      <c r="J169" s="4"/>
      <c r="K169" s="4">
        <v>210</v>
      </c>
      <c r="L169" s="4">
        <v>24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211</v>
      </c>
      <c r="F170" s="4">
        <f>ROUND(Source!Y144,O170)</f>
        <v>355057.17</v>
      </c>
      <c r="G170" s="4" t="s">
        <v>105</v>
      </c>
      <c r="H170" s="4" t="s">
        <v>106</v>
      </c>
      <c r="I170" s="4"/>
      <c r="J170" s="4"/>
      <c r="K170" s="4">
        <v>211</v>
      </c>
      <c r="L170" s="4">
        <v>25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224</v>
      </c>
      <c r="F171" s="4">
        <f>ROUND(Source!AR144,O171)</f>
        <v>14507333.34</v>
      </c>
      <c r="G171" s="4" t="s">
        <v>107</v>
      </c>
      <c r="H171" s="4" t="s">
        <v>108</v>
      </c>
      <c r="I171" s="4"/>
      <c r="J171" s="4"/>
      <c r="K171" s="4">
        <v>224</v>
      </c>
      <c r="L171" s="4">
        <v>26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4" spans="1:23" x14ac:dyDescent="0.2">
      <c r="A174">
        <v>70</v>
      </c>
      <c r="B174">
        <v>1</v>
      </c>
      <c r="D174">
        <v>1</v>
      </c>
      <c r="E174" t="s">
        <v>168</v>
      </c>
      <c r="F174" t="s">
        <v>169</v>
      </c>
      <c r="G174">
        <v>1</v>
      </c>
      <c r="H174">
        <v>0</v>
      </c>
      <c r="I174" t="s">
        <v>3</v>
      </c>
      <c r="J174">
        <v>1</v>
      </c>
      <c r="K174">
        <v>0</v>
      </c>
      <c r="L174" t="s">
        <v>3</v>
      </c>
      <c r="M174" t="s">
        <v>3</v>
      </c>
      <c r="N174">
        <v>0</v>
      </c>
    </row>
    <row r="175" spans="1:23" x14ac:dyDescent="0.2">
      <c r="A175">
        <v>70</v>
      </c>
      <c r="B175">
        <v>1</v>
      </c>
      <c r="D175">
        <v>2</v>
      </c>
      <c r="E175" t="s">
        <v>170</v>
      </c>
      <c r="F175" t="s">
        <v>171</v>
      </c>
      <c r="G175">
        <v>0</v>
      </c>
      <c r="H175">
        <v>0</v>
      </c>
      <c r="I175" t="s">
        <v>3</v>
      </c>
      <c r="J175">
        <v>1</v>
      </c>
      <c r="K175">
        <v>0</v>
      </c>
      <c r="L175" t="s">
        <v>3</v>
      </c>
      <c r="M175" t="s">
        <v>3</v>
      </c>
      <c r="N175">
        <v>0</v>
      </c>
    </row>
    <row r="176" spans="1:23" x14ac:dyDescent="0.2">
      <c r="A176">
        <v>70</v>
      </c>
      <c r="B176">
        <v>1</v>
      </c>
      <c r="D176">
        <v>3</v>
      </c>
      <c r="E176" t="s">
        <v>172</v>
      </c>
      <c r="F176" t="s">
        <v>173</v>
      </c>
      <c r="G176">
        <v>0</v>
      </c>
      <c r="H176">
        <v>0</v>
      </c>
      <c r="I176" t="s">
        <v>3</v>
      </c>
      <c r="J176">
        <v>1</v>
      </c>
      <c r="K176">
        <v>0</v>
      </c>
      <c r="L176" t="s">
        <v>3</v>
      </c>
      <c r="M176" t="s">
        <v>3</v>
      </c>
      <c r="N176">
        <v>0</v>
      </c>
    </row>
    <row r="177" spans="1:14" x14ac:dyDescent="0.2">
      <c r="A177">
        <v>70</v>
      </c>
      <c r="B177">
        <v>1</v>
      </c>
      <c r="D177">
        <v>4</v>
      </c>
      <c r="E177" t="s">
        <v>174</v>
      </c>
      <c r="F177" t="s">
        <v>175</v>
      </c>
      <c r="G177">
        <v>0</v>
      </c>
      <c r="H177">
        <v>0</v>
      </c>
      <c r="I177" t="s">
        <v>176</v>
      </c>
      <c r="J177">
        <v>0</v>
      </c>
      <c r="K177">
        <v>0</v>
      </c>
      <c r="L177" t="s">
        <v>3</v>
      </c>
      <c r="M177" t="s">
        <v>3</v>
      </c>
      <c r="N177">
        <v>0</v>
      </c>
    </row>
    <row r="178" spans="1:14" x14ac:dyDescent="0.2">
      <c r="A178">
        <v>70</v>
      </c>
      <c r="B178">
        <v>1</v>
      </c>
      <c r="D178">
        <v>5</v>
      </c>
      <c r="E178" t="s">
        <v>177</v>
      </c>
      <c r="F178" t="s">
        <v>178</v>
      </c>
      <c r="G178">
        <v>0</v>
      </c>
      <c r="H178">
        <v>0</v>
      </c>
      <c r="I178" t="s">
        <v>179</v>
      </c>
      <c r="J178">
        <v>0</v>
      </c>
      <c r="K178">
        <v>0</v>
      </c>
      <c r="L178" t="s">
        <v>3</v>
      </c>
      <c r="M178" t="s">
        <v>3</v>
      </c>
      <c r="N178">
        <v>0</v>
      </c>
    </row>
    <row r="179" spans="1:14" x14ac:dyDescent="0.2">
      <c r="A179">
        <v>70</v>
      </c>
      <c r="B179">
        <v>1</v>
      </c>
      <c r="D179">
        <v>6</v>
      </c>
      <c r="E179" t="s">
        <v>180</v>
      </c>
      <c r="F179" t="s">
        <v>181</v>
      </c>
      <c r="G179">
        <v>0</v>
      </c>
      <c r="H179">
        <v>0</v>
      </c>
      <c r="I179" t="s">
        <v>182</v>
      </c>
      <c r="J179">
        <v>0</v>
      </c>
      <c r="K179">
        <v>0</v>
      </c>
      <c r="L179" t="s">
        <v>3</v>
      </c>
      <c r="M179" t="s">
        <v>3</v>
      </c>
      <c r="N179">
        <v>0</v>
      </c>
    </row>
    <row r="180" spans="1:14" x14ac:dyDescent="0.2">
      <c r="A180">
        <v>70</v>
      </c>
      <c r="B180">
        <v>1</v>
      </c>
      <c r="D180">
        <v>7</v>
      </c>
      <c r="E180" t="s">
        <v>183</v>
      </c>
      <c r="F180" t="s">
        <v>184</v>
      </c>
      <c r="G180">
        <v>0</v>
      </c>
      <c r="H180">
        <v>0</v>
      </c>
      <c r="I180" t="s">
        <v>3</v>
      </c>
      <c r="J180">
        <v>0</v>
      </c>
      <c r="K180">
        <v>0</v>
      </c>
      <c r="L180" t="s">
        <v>3</v>
      </c>
      <c r="M180" t="s">
        <v>3</v>
      </c>
      <c r="N180">
        <v>0</v>
      </c>
    </row>
    <row r="181" spans="1:14" x14ac:dyDescent="0.2">
      <c r="A181">
        <v>70</v>
      </c>
      <c r="B181">
        <v>1</v>
      </c>
      <c r="D181">
        <v>8</v>
      </c>
      <c r="E181" t="s">
        <v>185</v>
      </c>
      <c r="F181" t="s">
        <v>186</v>
      </c>
      <c r="G181">
        <v>0</v>
      </c>
      <c r="H181">
        <v>0</v>
      </c>
      <c r="I181" t="s">
        <v>187</v>
      </c>
      <c r="J181">
        <v>0</v>
      </c>
      <c r="K181">
        <v>0</v>
      </c>
      <c r="L181" t="s">
        <v>3</v>
      </c>
      <c r="M181" t="s">
        <v>3</v>
      </c>
      <c r="N181">
        <v>0</v>
      </c>
    </row>
    <row r="182" spans="1:14" x14ac:dyDescent="0.2">
      <c r="A182">
        <v>70</v>
      </c>
      <c r="B182">
        <v>1</v>
      </c>
      <c r="D182">
        <v>9</v>
      </c>
      <c r="E182" t="s">
        <v>188</v>
      </c>
      <c r="F182" t="s">
        <v>189</v>
      </c>
      <c r="G182">
        <v>0</v>
      </c>
      <c r="H182">
        <v>0</v>
      </c>
      <c r="I182" t="s">
        <v>190</v>
      </c>
      <c r="J182">
        <v>0</v>
      </c>
      <c r="K182">
        <v>0</v>
      </c>
      <c r="L182" t="s">
        <v>3</v>
      </c>
      <c r="M182" t="s">
        <v>3</v>
      </c>
      <c r="N182">
        <v>0</v>
      </c>
    </row>
    <row r="183" spans="1:14" x14ac:dyDescent="0.2">
      <c r="A183">
        <v>70</v>
      </c>
      <c r="B183">
        <v>1</v>
      </c>
      <c r="D183">
        <v>10</v>
      </c>
      <c r="E183" t="s">
        <v>191</v>
      </c>
      <c r="F183" t="s">
        <v>192</v>
      </c>
      <c r="G183">
        <v>0</v>
      </c>
      <c r="H183">
        <v>0</v>
      </c>
      <c r="I183" t="s">
        <v>193</v>
      </c>
      <c r="J183">
        <v>0</v>
      </c>
      <c r="K183">
        <v>0</v>
      </c>
      <c r="L183" t="s">
        <v>3</v>
      </c>
      <c r="M183" t="s">
        <v>3</v>
      </c>
      <c r="N183">
        <v>0</v>
      </c>
    </row>
    <row r="184" spans="1:14" x14ac:dyDescent="0.2">
      <c r="A184">
        <v>70</v>
      </c>
      <c r="B184">
        <v>1</v>
      </c>
      <c r="D184">
        <v>11</v>
      </c>
      <c r="E184" t="s">
        <v>194</v>
      </c>
      <c r="F184" t="s">
        <v>195</v>
      </c>
      <c r="G184">
        <v>0</v>
      </c>
      <c r="H184">
        <v>0</v>
      </c>
      <c r="I184" t="s">
        <v>196</v>
      </c>
      <c r="J184">
        <v>0</v>
      </c>
      <c r="K184">
        <v>0</v>
      </c>
      <c r="L184" t="s">
        <v>3</v>
      </c>
      <c r="M184" t="s">
        <v>3</v>
      </c>
      <c r="N184">
        <v>0</v>
      </c>
    </row>
    <row r="185" spans="1:14" x14ac:dyDescent="0.2">
      <c r="A185">
        <v>70</v>
      </c>
      <c r="B185">
        <v>1</v>
      </c>
      <c r="D185">
        <v>12</v>
      </c>
      <c r="E185" t="s">
        <v>197</v>
      </c>
      <c r="F185" t="s">
        <v>198</v>
      </c>
      <c r="G185">
        <v>0</v>
      </c>
      <c r="H185">
        <v>0</v>
      </c>
      <c r="I185" t="s">
        <v>3</v>
      </c>
      <c r="J185">
        <v>0</v>
      </c>
      <c r="K185">
        <v>0</v>
      </c>
      <c r="L185" t="s">
        <v>3</v>
      </c>
      <c r="M185" t="s">
        <v>3</v>
      </c>
      <c r="N185">
        <v>0</v>
      </c>
    </row>
    <row r="186" spans="1:14" x14ac:dyDescent="0.2">
      <c r="A186">
        <v>70</v>
      </c>
      <c r="B186">
        <v>1</v>
      </c>
      <c r="D186">
        <v>1</v>
      </c>
      <c r="E186" t="s">
        <v>199</v>
      </c>
      <c r="F186" t="s">
        <v>200</v>
      </c>
      <c r="G186">
        <v>0.9</v>
      </c>
      <c r="H186">
        <v>1</v>
      </c>
      <c r="I186" t="s">
        <v>201</v>
      </c>
      <c r="J186">
        <v>0</v>
      </c>
      <c r="K186">
        <v>0</v>
      </c>
      <c r="L186" t="s">
        <v>3</v>
      </c>
      <c r="M186" t="s">
        <v>3</v>
      </c>
      <c r="N186">
        <v>0</v>
      </c>
    </row>
    <row r="187" spans="1:14" x14ac:dyDescent="0.2">
      <c r="A187">
        <v>70</v>
      </c>
      <c r="B187">
        <v>1</v>
      </c>
      <c r="D187">
        <v>2</v>
      </c>
      <c r="E187" t="s">
        <v>202</v>
      </c>
      <c r="F187" t="s">
        <v>203</v>
      </c>
      <c r="G187">
        <v>0.85</v>
      </c>
      <c r="H187">
        <v>1</v>
      </c>
      <c r="I187" t="s">
        <v>204</v>
      </c>
      <c r="J187">
        <v>0</v>
      </c>
      <c r="K187">
        <v>0</v>
      </c>
      <c r="L187" t="s">
        <v>3</v>
      </c>
      <c r="M187" t="s">
        <v>3</v>
      </c>
      <c r="N187">
        <v>0</v>
      </c>
    </row>
    <row r="188" spans="1:14" x14ac:dyDescent="0.2">
      <c r="A188">
        <v>70</v>
      </c>
      <c r="B188">
        <v>1</v>
      </c>
      <c r="D188">
        <v>3</v>
      </c>
      <c r="E188" t="s">
        <v>205</v>
      </c>
      <c r="F188" t="s">
        <v>206</v>
      </c>
      <c r="G188">
        <v>1</v>
      </c>
      <c r="H188">
        <v>0.85</v>
      </c>
      <c r="I188" t="s">
        <v>207</v>
      </c>
      <c r="J188">
        <v>0</v>
      </c>
      <c r="K188">
        <v>0</v>
      </c>
      <c r="L188" t="s">
        <v>3</v>
      </c>
      <c r="M188" t="s">
        <v>3</v>
      </c>
      <c r="N188">
        <v>0</v>
      </c>
    </row>
    <row r="189" spans="1:14" x14ac:dyDescent="0.2">
      <c r="A189">
        <v>70</v>
      </c>
      <c r="B189">
        <v>1</v>
      </c>
      <c r="D189">
        <v>4</v>
      </c>
      <c r="E189" t="s">
        <v>208</v>
      </c>
      <c r="F189" t="s">
        <v>209</v>
      </c>
      <c r="G189">
        <v>1</v>
      </c>
      <c r="H189">
        <v>0</v>
      </c>
      <c r="I189" t="s">
        <v>3</v>
      </c>
      <c r="J189">
        <v>0</v>
      </c>
      <c r="K189">
        <v>0</v>
      </c>
      <c r="L189" t="s">
        <v>3</v>
      </c>
      <c r="M189" t="s">
        <v>3</v>
      </c>
      <c r="N189">
        <v>0</v>
      </c>
    </row>
    <row r="190" spans="1:14" x14ac:dyDescent="0.2">
      <c r="A190">
        <v>70</v>
      </c>
      <c r="B190">
        <v>1</v>
      </c>
      <c r="D190">
        <v>5</v>
      </c>
      <c r="E190" t="s">
        <v>210</v>
      </c>
      <c r="F190" t="s">
        <v>211</v>
      </c>
      <c r="G190">
        <v>1</v>
      </c>
      <c r="H190">
        <v>0.8</v>
      </c>
      <c r="I190" t="s">
        <v>212</v>
      </c>
      <c r="J190">
        <v>0</v>
      </c>
      <c r="K190">
        <v>0</v>
      </c>
      <c r="L190" t="s">
        <v>3</v>
      </c>
      <c r="M190" t="s">
        <v>3</v>
      </c>
      <c r="N190">
        <v>0</v>
      </c>
    </row>
    <row r="191" spans="1:14" x14ac:dyDescent="0.2">
      <c r="A191">
        <v>70</v>
      </c>
      <c r="B191">
        <v>1</v>
      </c>
      <c r="D191">
        <v>6</v>
      </c>
      <c r="E191" t="s">
        <v>213</v>
      </c>
      <c r="F191" t="s">
        <v>214</v>
      </c>
      <c r="G191">
        <v>0.85</v>
      </c>
      <c r="H191">
        <v>0</v>
      </c>
      <c r="I191" t="s">
        <v>3</v>
      </c>
      <c r="J191">
        <v>0</v>
      </c>
      <c r="K191">
        <v>0</v>
      </c>
      <c r="L191" t="s">
        <v>3</v>
      </c>
      <c r="M191" t="s">
        <v>3</v>
      </c>
      <c r="N191">
        <v>0</v>
      </c>
    </row>
    <row r="192" spans="1:14" x14ac:dyDescent="0.2">
      <c r="A192">
        <v>70</v>
      </c>
      <c r="B192">
        <v>1</v>
      </c>
      <c r="D192">
        <v>7</v>
      </c>
      <c r="E192" t="s">
        <v>215</v>
      </c>
      <c r="F192" t="s">
        <v>216</v>
      </c>
      <c r="G192">
        <v>0.8</v>
      </c>
      <c r="H192">
        <v>0</v>
      </c>
      <c r="I192" t="s">
        <v>3</v>
      </c>
      <c r="J192">
        <v>0</v>
      </c>
      <c r="K192">
        <v>0</v>
      </c>
      <c r="L192" t="s">
        <v>3</v>
      </c>
      <c r="M192" t="s">
        <v>3</v>
      </c>
      <c r="N192">
        <v>0</v>
      </c>
    </row>
    <row r="193" spans="1:27" x14ac:dyDescent="0.2">
      <c r="A193">
        <v>70</v>
      </c>
      <c r="B193">
        <v>1</v>
      </c>
      <c r="D193">
        <v>8</v>
      </c>
      <c r="E193" t="s">
        <v>217</v>
      </c>
      <c r="F193" t="s">
        <v>218</v>
      </c>
      <c r="G193">
        <v>0.94</v>
      </c>
      <c r="H193">
        <v>0</v>
      </c>
      <c r="I193" t="s">
        <v>3</v>
      </c>
      <c r="J193">
        <v>0</v>
      </c>
      <c r="K193">
        <v>0</v>
      </c>
      <c r="L193" t="s">
        <v>3</v>
      </c>
      <c r="M193" t="s">
        <v>3</v>
      </c>
      <c r="N193">
        <v>0</v>
      </c>
    </row>
    <row r="194" spans="1:27" x14ac:dyDescent="0.2">
      <c r="A194">
        <v>70</v>
      </c>
      <c r="B194">
        <v>1</v>
      </c>
      <c r="D194">
        <v>9</v>
      </c>
      <c r="E194" t="s">
        <v>219</v>
      </c>
      <c r="F194" t="s">
        <v>220</v>
      </c>
      <c r="G194">
        <v>0.9</v>
      </c>
      <c r="H194">
        <v>0</v>
      </c>
      <c r="I194" t="s">
        <v>3</v>
      </c>
      <c r="J194">
        <v>0</v>
      </c>
      <c r="K194">
        <v>0</v>
      </c>
      <c r="L194" t="s">
        <v>3</v>
      </c>
      <c r="M194" t="s">
        <v>3</v>
      </c>
      <c r="N194">
        <v>0</v>
      </c>
    </row>
    <row r="195" spans="1:27" x14ac:dyDescent="0.2">
      <c r="A195">
        <v>70</v>
      </c>
      <c r="B195">
        <v>1</v>
      </c>
      <c r="D195">
        <v>10</v>
      </c>
      <c r="E195" t="s">
        <v>221</v>
      </c>
      <c r="F195" t="s">
        <v>222</v>
      </c>
      <c r="G195">
        <v>0.6</v>
      </c>
      <c r="H195">
        <v>0</v>
      </c>
      <c r="I195" t="s">
        <v>3</v>
      </c>
      <c r="J195">
        <v>0</v>
      </c>
      <c r="K195">
        <v>0</v>
      </c>
      <c r="L195" t="s">
        <v>3</v>
      </c>
      <c r="M195" t="s">
        <v>3</v>
      </c>
      <c r="N195">
        <v>0</v>
      </c>
    </row>
    <row r="196" spans="1:27" x14ac:dyDescent="0.2">
      <c r="A196">
        <v>70</v>
      </c>
      <c r="B196">
        <v>1</v>
      </c>
      <c r="D196">
        <v>11</v>
      </c>
      <c r="E196" t="s">
        <v>223</v>
      </c>
      <c r="F196" t="s">
        <v>224</v>
      </c>
      <c r="G196">
        <v>1.2</v>
      </c>
      <c r="H196">
        <v>0</v>
      </c>
      <c r="I196" t="s">
        <v>3</v>
      </c>
      <c r="J196">
        <v>0</v>
      </c>
      <c r="K196">
        <v>0</v>
      </c>
      <c r="L196" t="s">
        <v>3</v>
      </c>
      <c r="M196" t="s">
        <v>3</v>
      </c>
      <c r="N196">
        <v>0</v>
      </c>
    </row>
    <row r="197" spans="1:27" x14ac:dyDescent="0.2">
      <c r="A197">
        <v>70</v>
      </c>
      <c r="B197">
        <v>1</v>
      </c>
      <c r="D197">
        <v>12</v>
      </c>
      <c r="E197" t="s">
        <v>225</v>
      </c>
      <c r="F197" t="s">
        <v>226</v>
      </c>
      <c r="G197">
        <v>0</v>
      </c>
      <c r="H197">
        <v>0</v>
      </c>
      <c r="I197" t="s">
        <v>3</v>
      </c>
      <c r="J197">
        <v>0</v>
      </c>
      <c r="K197">
        <v>0</v>
      </c>
      <c r="L197" t="s">
        <v>3</v>
      </c>
      <c r="M197" t="s">
        <v>3</v>
      </c>
      <c r="N197">
        <v>0</v>
      </c>
    </row>
    <row r="198" spans="1:27" x14ac:dyDescent="0.2">
      <c r="A198">
        <v>70</v>
      </c>
      <c r="B198">
        <v>1</v>
      </c>
      <c r="D198">
        <v>13</v>
      </c>
      <c r="E198" t="s">
        <v>227</v>
      </c>
      <c r="F198" t="s">
        <v>228</v>
      </c>
      <c r="G198">
        <v>0.94</v>
      </c>
      <c r="H198">
        <v>0</v>
      </c>
      <c r="I198" t="s">
        <v>3</v>
      </c>
      <c r="J198">
        <v>0</v>
      </c>
      <c r="K198">
        <v>0</v>
      </c>
      <c r="L198" t="s">
        <v>3</v>
      </c>
      <c r="M198" t="s">
        <v>3</v>
      </c>
      <c r="N198">
        <v>0</v>
      </c>
    </row>
    <row r="200" spans="1:27" x14ac:dyDescent="0.2">
      <c r="A200">
        <v>-1</v>
      </c>
    </row>
    <row r="202" spans="1:27" x14ac:dyDescent="0.2">
      <c r="A202" s="3">
        <v>75</v>
      </c>
      <c r="B202" s="3" t="s">
        <v>229</v>
      </c>
      <c r="C202" s="3">
        <v>2018</v>
      </c>
      <c r="D202" s="3">
        <v>0</v>
      </c>
      <c r="E202" s="3">
        <v>1</v>
      </c>
      <c r="F202" s="3">
        <v>0</v>
      </c>
      <c r="G202" s="3">
        <v>0</v>
      </c>
      <c r="H202" s="3">
        <v>1</v>
      </c>
      <c r="I202" s="3">
        <v>0</v>
      </c>
      <c r="J202" s="3">
        <v>3</v>
      </c>
      <c r="K202" s="3">
        <v>0</v>
      </c>
      <c r="L202" s="3">
        <v>0</v>
      </c>
      <c r="M202" s="3">
        <v>0</v>
      </c>
      <c r="N202" s="3">
        <v>35026474</v>
      </c>
      <c r="O202" s="3">
        <v>1</v>
      </c>
    </row>
    <row r="203" spans="1:27" x14ac:dyDescent="0.2">
      <c r="A203" s="5">
        <v>1</v>
      </c>
      <c r="B203" s="5" t="s">
        <v>230</v>
      </c>
      <c r="C203" s="5" t="s">
        <v>3</v>
      </c>
      <c r="D203" s="5">
        <v>0</v>
      </c>
      <c r="E203" s="5">
        <v>0</v>
      </c>
      <c r="F203" s="5">
        <v>1</v>
      </c>
      <c r="G203" s="5">
        <v>1</v>
      </c>
      <c r="H203" s="5">
        <v>0</v>
      </c>
      <c r="I203" s="5">
        <v>2</v>
      </c>
      <c r="J203" s="5">
        <v>1</v>
      </c>
      <c r="K203" s="5">
        <v>1</v>
      </c>
      <c r="L203" s="5">
        <v>1</v>
      </c>
      <c r="M203" s="5">
        <v>1</v>
      </c>
      <c r="N203" s="5">
        <v>1</v>
      </c>
      <c r="O203" s="5">
        <v>1</v>
      </c>
      <c r="P203" s="5">
        <v>1</v>
      </c>
      <c r="Q203" s="5">
        <v>1</v>
      </c>
      <c r="R203" s="5" t="s">
        <v>3</v>
      </c>
      <c r="S203" s="5" t="s">
        <v>3</v>
      </c>
      <c r="T203" s="5" t="s">
        <v>3</v>
      </c>
      <c r="U203" s="5" t="s">
        <v>3</v>
      </c>
      <c r="V203" s="5" t="s">
        <v>3</v>
      </c>
      <c r="W203" s="5" t="s">
        <v>3</v>
      </c>
      <c r="X203" s="5" t="s">
        <v>3</v>
      </c>
      <c r="Y203" s="5" t="s">
        <v>3</v>
      </c>
      <c r="Z203" s="5" t="s">
        <v>3</v>
      </c>
      <c r="AA203" s="5" t="s">
        <v>3</v>
      </c>
    </row>
    <row r="207" spans="1:27" x14ac:dyDescent="0.2">
      <c r="A207">
        <v>65</v>
      </c>
      <c r="C207">
        <v>1</v>
      </c>
      <c r="D207">
        <v>0</v>
      </c>
      <c r="E20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231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12" spans="1:133" x14ac:dyDescent="0.2">
      <c r="A12" s="1">
        <v>1</v>
      </c>
      <c r="B12" s="1">
        <v>50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720904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35026474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11</v>
      </c>
      <c r="D16" s="6" t="s">
        <v>11</v>
      </c>
      <c r="E16" s="7">
        <f>(Source!F132)/1000</f>
        <v>14456.436119999998</v>
      </c>
      <c r="F16" s="7">
        <f>(Source!F133)/1000</f>
        <v>0</v>
      </c>
      <c r="G16" s="7">
        <f>(Source!F124)/1000</f>
        <v>0</v>
      </c>
      <c r="H16" s="7">
        <f>(Source!F134)/1000+(Source!F135)/1000</f>
        <v>50.897220000000004</v>
      </c>
      <c r="I16" s="7">
        <f>E16+F16+G16+H16</f>
        <v>14507.333339999999</v>
      </c>
      <c r="J16" s="7">
        <f>(Source!F130)/1000</f>
        <v>459.52161999999998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13482015.789999999</v>
      </c>
      <c r="AU16" s="7">
        <v>12949674.039999999</v>
      </c>
      <c r="AV16" s="7">
        <v>0</v>
      </c>
      <c r="AW16" s="7">
        <v>0</v>
      </c>
      <c r="AX16" s="7">
        <v>0</v>
      </c>
      <c r="AY16" s="7">
        <v>72820.13</v>
      </c>
      <c r="AZ16" s="7">
        <v>30052.22</v>
      </c>
      <c r="BA16" s="7">
        <v>459521.62</v>
      </c>
      <c r="BB16" s="7">
        <v>14456436.119999999</v>
      </c>
      <c r="BC16" s="7">
        <v>0</v>
      </c>
      <c r="BD16" s="7">
        <v>50897.22</v>
      </c>
      <c r="BE16" s="7">
        <v>0</v>
      </c>
      <c r="BF16" s="7">
        <v>2195.1771679999997</v>
      </c>
      <c r="BG16" s="7">
        <v>101.836832</v>
      </c>
      <c r="BH16" s="7">
        <v>0</v>
      </c>
      <c r="BI16" s="7">
        <v>499931.55</v>
      </c>
      <c r="BJ16" s="7">
        <v>355057.17</v>
      </c>
      <c r="BK16" s="7">
        <v>14507333.34</v>
      </c>
    </row>
    <row r="18" spans="1:19" x14ac:dyDescent="0.2">
      <c r="A18">
        <v>51</v>
      </c>
      <c r="E18" s="8">
        <f>SUMIF(A16:A17,3,E16:E17)</f>
        <v>14456.436119999998</v>
      </c>
      <c r="F18" s="8">
        <f>SUMIF(A16:A17,3,F16:F17)</f>
        <v>0</v>
      </c>
      <c r="G18" s="8">
        <f>SUMIF(A16:A17,3,G16:G17)</f>
        <v>0</v>
      </c>
      <c r="H18" s="8">
        <f>SUMIF(A16:A17,3,H16:H17)</f>
        <v>50.897220000000004</v>
      </c>
      <c r="I18" s="8">
        <f>SUMIF(A16:A17,3,I16:I17)</f>
        <v>14507.333339999999</v>
      </c>
      <c r="J18" s="8">
        <f>SUMIF(A16:A17,3,J16:J17)</f>
        <v>459.52161999999998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13482015.789999999</v>
      </c>
      <c r="G20" s="4" t="s">
        <v>57</v>
      </c>
      <c r="H20" s="4" t="s">
        <v>58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12949674.039999999</v>
      </c>
      <c r="G21" s="4" t="s">
        <v>59</v>
      </c>
      <c r="H21" s="4" t="s">
        <v>60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61</v>
      </c>
      <c r="H22" s="4" t="s">
        <v>62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12949674.039999999</v>
      </c>
      <c r="G23" s="4" t="s">
        <v>63</v>
      </c>
      <c r="H23" s="4" t="s">
        <v>64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12949674.039999999</v>
      </c>
      <c r="G24" s="4" t="s">
        <v>65</v>
      </c>
      <c r="H24" s="4" t="s">
        <v>66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67</v>
      </c>
      <c r="H25" s="4" t="s">
        <v>68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12949674.039999999</v>
      </c>
      <c r="G26" s="4" t="s">
        <v>69</v>
      </c>
      <c r="H26" s="4" t="s">
        <v>70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71</v>
      </c>
      <c r="H27" s="4" t="s">
        <v>72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73</v>
      </c>
      <c r="H28" s="4" t="s">
        <v>74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75</v>
      </c>
      <c r="H29" s="4" t="s">
        <v>76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72820.13</v>
      </c>
      <c r="G30" s="4" t="s">
        <v>77</v>
      </c>
      <c r="H30" s="4" t="s">
        <v>78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79</v>
      </c>
      <c r="H31" s="4" t="s">
        <v>80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30052.22</v>
      </c>
      <c r="G32" s="4" t="s">
        <v>81</v>
      </c>
      <c r="H32" s="4" t="s">
        <v>82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459521.62</v>
      </c>
      <c r="G33" s="4" t="s">
        <v>83</v>
      </c>
      <c r="H33" s="4" t="s">
        <v>84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85</v>
      </c>
      <c r="H34" s="4" t="s">
        <v>86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14456436.119999999</v>
      </c>
      <c r="G35" s="4" t="s">
        <v>87</v>
      </c>
      <c r="H35" s="4" t="s">
        <v>88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89</v>
      </c>
      <c r="H36" s="4" t="s">
        <v>90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50897.22</v>
      </c>
      <c r="G37" s="4" t="s">
        <v>91</v>
      </c>
      <c r="H37" s="4" t="s">
        <v>92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93</v>
      </c>
      <c r="H38" s="4" t="s">
        <v>94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95</v>
      </c>
      <c r="H39" s="4" t="s">
        <v>96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2195.1771679999997</v>
      </c>
      <c r="G40" s="4" t="s">
        <v>97</v>
      </c>
      <c r="H40" s="4" t="s">
        <v>98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101.836832</v>
      </c>
      <c r="G41" s="4" t="s">
        <v>99</v>
      </c>
      <c r="H41" s="4" t="s">
        <v>100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101</v>
      </c>
      <c r="H42" s="4" t="s">
        <v>102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210</v>
      </c>
      <c r="F43" s="4">
        <v>499931.55</v>
      </c>
      <c r="G43" s="4" t="s">
        <v>103</v>
      </c>
      <c r="H43" s="4" t="s">
        <v>104</v>
      </c>
      <c r="I43" s="4"/>
      <c r="J43" s="4"/>
      <c r="K43" s="4">
        <v>210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211</v>
      </c>
      <c r="F44" s="4">
        <v>355057.17</v>
      </c>
      <c r="G44" s="4" t="s">
        <v>105</v>
      </c>
      <c r="H44" s="4" t="s">
        <v>106</v>
      </c>
      <c r="I44" s="4"/>
      <c r="J44" s="4"/>
      <c r="K44" s="4">
        <v>211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224</v>
      </c>
      <c r="F45" s="4">
        <v>14507333.34</v>
      </c>
      <c r="G45" s="4" t="s">
        <v>107</v>
      </c>
      <c r="H45" s="4" t="s">
        <v>108</v>
      </c>
      <c r="I45" s="4"/>
      <c r="J45" s="4"/>
      <c r="K45" s="4">
        <v>224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7" spans="1:16" x14ac:dyDescent="0.2">
      <c r="A47">
        <v>-1</v>
      </c>
    </row>
    <row r="50" spans="1:27" x14ac:dyDescent="0.2">
      <c r="A50" s="3">
        <v>75</v>
      </c>
      <c r="B50" s="3" t="s">
        <v>229</v>
      </c>
      <c r="C50" s="3">
        <v>2018</v>
      </c>
      <c r="D50" s="3">
        <v>0</v>
      </c>
      <c r="E50" s="3">
        <v>1</v>
      </c>
      <c r="F50" s="3">
        <v>0</v>
      </c>
      <c r="G50" s="3">
        <v>0</v>
      </c>
      <c r="H50" s="3">
        <v>1</v>
      </c>
      <c r="I50" s="3">
        <v>0</v>
      </c>
      <c r="J50" s="3">
        <v>3</v>
      </c>
      <c r="K50" s="3">
        <v>0</v>
      </c>
      <c r="L50" s="3">
        <v>0</v>
      </c>
      <c r="M50" s="3">
        <v>0</v>
      </c>
      <c r="N50" s="3">
        <v>35026474</v>
      </c>
      <c r="O50" s="3">
        <v>1</v>
      </c>
    </row>
    <row r="51" spans="1:27" x14ac:dyDescent="0.2">
      <c r="A51" s="5">
        <v>1</v>
      </c>
      <c r="B51" s="5" t="s">
        <v>230</v>
      </c>
      <c r="C51" s="5" t="s">
        <v>3</v>
      </c>
      <c r="D51" s="5">
        <v>0</v>
      </c>
      <c r="E51" s="5">
        <v>0</v>
      </c>
      <c r="F51" s="5">
        <v>1</v>
      </c>
      <c r="G51" s="5">
        <v>1</v>
      </c>
      <c r="H51" s="5">
        <v>0</v>
      </c>
      <c r="I51" s="5">
        <v>2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 t="s">
        <v>3</v>
      </c>
      <c r="S51" s="5" t="s">
        <v>3</v>
      </c>
      <c r="T51" s="5" t="s">
        <v>3</v>
      </c>
      <c r="U51" s="5" t="s">
        <v>3</v>
      </c>
      <c r="V51" s="5" t="s">
        <v>3</v>
      </c>
      <c r="W51" s="5" t="s">
        <v>3</v>
      </c>
      <c r="X51" s="5" t="s">
        <v>3</v>
      </c>
      <c r="Y51" s="5" t="s">
        <v>3</v>
      </c>
      <c r="Z51" s="5" t="s">
        <v>3</v>
      </c>
      <c r="AA51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ROW(Source!A28)</f>
        <v>28</v>
      </c>
      <c r="B1">
        <v>35026474</v>
      </c>
      <c r="C1">
        <v>35026646</v>
      </c>
      <c r="D1">
        <v>31705341</v>
      </c>
      <c r="E1">
        <v>1</v>
      </c>
      <c r="F1">
        <v>1</v>
      </c>
      <c r="G1">
        <v>1</v>
      </c>
      <c r="H1">
        <v>1</v>
      </c>
      <c r="I1" t="s">
        <v>232</v>
      </c>
      <c r="J1" t="s">
        <v>3</v>
      </c>
      <c r="K1" t="s">
        <v>233</v>
      </c>
      <c r="L1">
        <v>1191</v>
      </c>
      <c r="N1">
        <v>1013</v>
      </c>
      <c r="O1" t="s">
        <v>234</v>
      </c>
      <c r="P1" t="s">
        <v>234</v>
      </c>
      <c r="Q1">
        <v>1</v>
      </c>
      <c r="W1">
        <v>0</v>
      </c>
      <c r="X1">
        <v>-228054128</v>
      </c>
      <c r="Y1">
        <v>76.7</v>
      </c>
      <c r="AA1">
        <v>0</v>
      </c>
      <c r="AB1">
        <v>0</v>
      </c>
      <c r="AC1">
        <v>0</v>
      </c>
      <c r="AD1">
        <v>8.02</v>
      </c>
      <c r="AE1">
        <v>0</v>
      </c>
      <c r="AF1">
        <v>0</v>
      </c>
      <c r="AG1">
        <v>0</v>
      </c>
      <c r="AH1">
        <v>8.02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3</v>
      </c>
      <c r="AT1">
        <v>76.7</v>
      </c>
      <c r="AU1" t="s">
        <v>3</v>
      </c>
      <c r="AV1">
        <v>1</v>
      </c>
      <c r="AW1">
        <v>2</v>
      </c>
      <c r="AX1">
        <v>35026648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294.52800000000002</v>
      </c>
      <c r="CY1">
        <f>AD1</f>
        <v>8.02</v>
      </c>
      <c r="CZ1">
        <f>AH1</f>
        <v>8.02</v>
      </c>
      <c r="DA1">
        <f>AL1</f>
        <v>1</v>
      </c>
      <c r="DB1">
        <v>0</v>
      </c>
    </row>
    <row r="2" spans="1:106" x14ac:dyDescent="0.2">
      <c r="A2">
        <f>ROW(Source!A29)</f>
        <v>29</v>
      </c>
      <c r="B2">
        <v>35026474</v>
      </c>
      <c r="C2">
        <v>35026649</v>
      </c>
      <c r="D2">
        <v>31705687</v>
      </c>
      <c r="E2">
        <v>1</v>
      </c>
      <c r="F2">
        <v>1</v>
      </c>
      <c r="G2">
        <v>1</v>
      </c>
      <c r="H2">
        <v>1</v>
      </c>
      <c r="I2" t="s">
        <v>235</v>
      </c>
      <c r="J2" t="s">
        <v>3</v>
      </c>
      <c r="K2" t="s">
        <v>236</v>
      </c>
      <c r="L2">
        <v>1191</v>
      </c>
      <c r="N2">
        <v>1013</v>
      </c>
      <c r="O2" t="s">
        <v>234</v>
      </c>
      <c r="P2" t="s">
        <v>234</v>
      </c>
      <c r="Q2">
        <v>1</v>
      </c>
      <c r="W2">
        <v>0</v>
      </c>
      <c r="X2">
        <v>1850719656</v>
      </c>
      <c r="Y2">
        <v>179.8</v>
      </c>
      <c r="AA2">
        <v>0</v>
      </c>
      <c r="AB2">
        <v>0</v>
      </c>
      <c r="AC2">
        <v>0</v>
      </c>
      <c r="AD2">
        <v>8.31</v>
      </c>
      <c r="AE2">
        <v>0</v>
      </c>
      <c r="AF2">
        <v>0</v>
      </c>
      <c r="AG2">
        <v>0</v>
      </c>
      <c r="AH2">
        <v>8.31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179.8</v>
      </c>
      <c r="AU2" t="s">
        <v>3</v>
      </c>
      <c r="AV2">
        <v>1</v>
      </c>
      <c r="AW2">
        <v>2</v>
      </c>
      <c r="AX2">
        <v>35026655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34.521599999999999</v>
      </c>
      <c r="CY2">
        <f>AD2</f>
        <v>8.31</v>
      </c>
      <c r="CZ2">
        <f>AH2</f>
        <v>8.31</v>
      </c>
      <c r="DA2">
        <f>AL2</f>
        <v>1</v>
      </c>
      <c r="DB2">
        <v>0</v>
      </c>
    </row>
    <row r="3" spans="1:106" x14ac:dyDescent="0.2">
      <c r="A3">
        <f>ROW(Source!A29)</f>
        <v>29</v>
      </c>
      <c r="B3">
        <v>35026474</v>
      </c>
      <c r="C3">
        <v>35026649</v>
      </c>
      <c r="D3">
        <v>31703727</v>
      </c>
      <c r="E3">
        <v>1</v>
      </c>
      <c r="F3">
        <v>1</v>
      </c>
      <c r="G3">
        <v>1</v>
      </c>
      <c r="H3">
        <v>1</v>
      </c>
      <c r="I3" t="s">
        <v>237</v>
      </c>
      <c r="J3" t="s">
        <v>3</v>
      </c>
      <c r="K3" t="s">
        <v>238</v>
      </c>
      <c r="L3">
        <v>1191</v>
      </c>
      <c r="N3">
        <v>1013</v>
      </c>
      <c r="O3" t="s">
        <v>234</v>
      </c>
      <c r="P3" t="s">
        <v>234</v>
      </c>
      <c r="Q3">
        <v>1</v>
      </c>
      <c r="W3">
        <v>0</v>
      </c>
      <c r="X3">
        <v>-1417349443</v>
      </c>
      <c r="Y3">
        <v>45.63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45.63</v>
      </c>
      <c r="AU3" t="s">
        <v>3</v>
      </c>
      <c r="AV3">
        <v>2</v>
      </c>
      <c r="AW3">
        <v>2</v>
      </c>
      <c r="AX3">
        <v>35026656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Y3*Source!I29</f>
        <v>8.7609600000000007</v>
      </c>
      <c r="CY3">
        <f>AD3</f>
        <v>0</v>
      </c>
      <c r="CZ3">
        <f>AH3</f>
        <v>0</v>
      </c>
      <c r="DA3">
        <f>AL3</f>
        <v>1</v>
      </c>
      <c r="DB3">
        <v>0</v>
      </c>
    </row>
    <row r="4" spans="1:106" x14ac:dyDescent="0.2">
      <c r="A4">
        <f>ROW(Source!A29)</f>
        <v>29</v>
      </c>
      <c r="B4">
        <v>35026474</v>
      </c>
      <c r="C4">
        <v>35026649</v>
      </c>
      <c r="D4">
        <v>31518461</v>
      </c>
      <c r="E4">
        <v>1</v>
      </c>
      <c r="F4">
        <v>1</v>
      </c>
      <c r="G4">
        <v>1</v>
      </c>
      <c r="H4">
        <v>2</v>
      </c>
      <c r="I4" t="s">
        <v>239</v>
      </c>
      <c r="J4" t="s">
        <v>240</v>
      </c>
      <c r="K4" t="s">
        <v>241</v>
      </c>
      <c r="L4">
        <v>1368</v>
      </c>
      <c r="N4">
        <v>1011</v>
      </c>
      <c r="O4" t="s">
        <v>242</v>
      </c>
      <c r="P4" t="s">
        <v>242</v>
      </c>
      <c r="Q4">
        <v>1</v>
      </c>
      <c r="W4">
        <v>0</v>
      </c>
      <c r="X4">
        <v>645023554</v>
      </c>
      <c r="Y4">
        <v>1.55</v>
      </c>
      <c r="AA4">
        <v>0</v>
      </c>
      <c r="AB4">
        <v>123</v>
      </c>
      <c r="AC4">
        <v>13.5</v>
      </c>
      <c r="AD4">
        <v>0</v>
      </c>
      <c r="AE4">
        <v>0</v>
      </c>
      <c r="AF4">
        <v>123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3</v>
      </c>
      <c r="AT4">
        <v>1.55</v>
      </c>
      <c r="AU4" t="s">
        <v>3</v>
      </c>
      <c r="AV4">
        <v>0</v>
      </c>
      <c r="AW4">
        <v>2</v>
      </c>
      <c r="AX4">
        <v>35026657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0.29760000000000003</v>
      </c>
      <c r="CY4">
        <f>AB4</f>
        <v>123</v>
      </c>
      <c r="CZ4">
        <f>AF4</f>
        <v>123</v>
      </c>
      <c r="DA4">
        <f>AJ4</f>
        <v>1</v>
      </c>
      <c r="DB4">
        <v>0</v>
      </c>
    </row>
    <row r="5" spans="1:106" x14ac:dyDescent="0.2">
      <c r="A5">
        <f>ROW(Source!A29)</f>
        <v>29</v>
      </c>
      <c r="B5">
        <v>35026474</v>
      </c>
      <c r="C5">
        <v>35026649</v>
      </c>
      <c r="D5">
        <v>31521008</v>
      </c>
      <c r="E5">
        <v>1</v>
      </c>
      <c r="F5">
        <v>1</v>
      </c>
      <c r="G5">
        <v>1</v>
      </c>
      <c r="H5">
        <v>2</v>
      </c>
      <c r="I5" t="s">
        <v>243</v>
      </c>
      <c r="J5" t="s">
        <v>244</v>
      </c>
      <c r="K5" t="s">
        <v>245</v>
      </c>
      <c r="L5">
        <v>1368</v>
      </c>
      <c r="N5">
        <v>1011</v>
      </c>
      <c r="O5" t="s">
        <v>242</v>
      </c>
      <c r="P5" t="s">
        <v>242</v>
      </c>
      <c r="Q5">
        <v>1</v>
      </c>
      <c r="W5">
        <v>0</v>
      </c>
      <c r="X5">
        <v>-514543984</v>
      </c>
      <c r="Y5">
        <v>44.08</v>
      </c>
      <c r="AA5">
        <v>0</v>
      </c>
      <c r="AB5">
        <v>90</v>
      </c>
      <c r="AC5">
        <v>10.06</v>
      </c>
      <c r="AD5">
        <v>0</v>
      </c>
      <c r="AE5">
        <v>0</v>
      </c>
      <c r="AF5">
        <v>90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44.08</v>
      </c>
      <c r="AU5" t="s">
        <v>3</v>
      </c>
      <c r="AV5">
        <v>0</v>
      </c>
      <c r="AW5">
        <v>2</v>
      </c>
      <c r="AX5">
        <v>35026658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Y5*Source!I29</f>
        <v>8.4633599999999998</v>
      </c>
      <c r="CY5">
        <f>AB5</f>
        <v>90</v>
      </c>
      <c r="CZ5">
        <f>AF5</f>
        <v>90</v>
      </c>
      <c r="DA5">
        <f>AJ5</f>
        <v>1</v>
      </c>
      <c r="DB5">
        <v>0</v>
      </c>
    </row>
    <row r="6" spans="1:106" x14ac:dyDescent="0.2">
      <c r="A6">
        <f>ROW(Source!A29)</f>
        <v>29</v>
      </c>
      <c r="B6">
        <v>35026474</v>
      </c>
      <c r="C6">
        <v>35026649</v>
      </c>
      <c r="D6">
        <v>31521611</v>
      </c>
      <c r="E6">
        <v>1</v>
      </c>
      <c r="F6">
        <v>1</v>
      </c>
      <c r="G6">
        <v>1</v>
      </c>
      <c r="H6">
        <v>2</v>
      </c>
      <c r="I6" t="s">
        <v>246</v>
      </c>
      <c r="J6" t="s">
        <v>247</v>
      </c>
      <c r="K6" t="s">
        <v>248</v>
      </c>
      <c r="L6">
        <v>1368</v>
      </c>
      <c r="N6">
        <v>1011</v>
      </c>
      <c r="O6" t="s">
        <v>242</v>
      </c>
      <c r="P6" t="s">
        <v>242</v>
      </c>
      <c r="Q6">
        <v>1</v>
      </c>
      <c r="W6">
        <v>0</v>
      </c>
      <c r="X6">
        <v>1518765163</v>
      </c>
      <c r="Y6">
        <v>88.16</v>
      </c>
      <c r="AA6">
        <v>0</v>
      </c>
      <c r="AB6">
        <v>1.53</v>
      </c>
      <c r="AC6">
        <v>0</v>
      </c>
      <c r="AD6">
        <v>0</v>
      </c>
      <c r="AE6">
        <v>0</v>
      </c>
      <c r="AF6">
        <v>1.53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88.16</v>
      </c>
      <c r="AU6" t="s">
        <v>3</v>
      </c>
      <c r="AV6">
        <v>0</v>
      </c>
      <c r="AW6">
        <v>2</v>
      </c>
      <c r="AX6">
        <v>35026659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Y6*Source!I29</f>
        <v>16.92672</v>
      </c>
      <c r="CY6">
        <f>AB6</f>
        <v>1.53</v>
      </c>
      <c r="CZ6">
        <f>AF6</f>
        <v>1.53</v>
      </c>
      <c r="DA6">
        <f>AJ6</f>
        <v>1</v>
      </c>
      <c r="DB6">
        <v>0</v>
      </c>
    </row>
    <row r="7" spans="1:106" x14ac:dyDescent="0.2">
      <c r="A7">
        <f>ROW(Source!A30)</f>
        <v>30</v>
      </c>
      <c r="B7">
        <v>35026474</v>
      </c>
      <c r="C7">
        <v>35026660</v>
      </c>
      <c r="D7">
        <v>31703848</v>
      </c>
      <c r="E7">
        <v>1</v>
      </c>
      <c r="F7">
        <v>1</v>
      </c>
      <c r="G7">
        <v>1</v>
      </c>
      <c r="H7">
        <v>1</v>
      </c>
      <c r="I7" t="s">
        <v>249</v>
      </c>
      <c r="J7" t="s">
        <v>3</v>
      </c>
      <c r="K7" t="s">
        <v>250</v>
      </c>
      <c r="L7">
        <v>1191</v>
      </c>
      <c r="N7">
        <v>1013</v>
      </c>
      <c r="O7" t="s">
        <v>234</v>
      </c>
      <c r="P7" t="s">
        <v>234</v>
      </c>
      <c r="Q7">
        <v>1</v>
      </c>
      <c r="W7">
        <v>0</v>
      </c>
      <c r="X7">
        <v>735429535</v>
      </c>
      <c r="Y7">
        <v>57.42</v>
      </c>
      <c r="AA7">
        <v>0</v>
      </c>
      <c r="AB7">
        <v>0</v>
      </c>
      <c r="AC7">
        <v>0</v>
      </c>
      <c r="AD7">
        <v>7.8</v>
      </c>
      <c r="AE7">
        <v>0</v>
      </c>
      <c r="AF7">
        <v>0</v>
      </c>
      <c r="AG7">
        <v>0</v>
      </c>
      <c r="AH7">
        <v>7.8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57.42</v>
      </c>
      <c r="AU7" t="s">
        <v>3</v>
      </c>
      <c r="AV7">
        <v>1</v>
      </c>
      <c r="AW7">
        <v>2</v>
      </c>
      <c r="AX7">
        <v>35026665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13.229568</v>
      </c>
      <c r="CY7">
        <f>AD7</f>
        <v>7.8</v>
      </c>
      <c r="CZ7">
        <f>AH7</f>
        <v>7.8</v>
      </c>
      <c r="DA7">
        <f>AL7</f>
        <v>1</v>
      </c>
      <c r="DB7">
        <v>0</v>
      </c>
    </row>
    <row r="8" spans="1:106" x14ac:dyDescent="0.2">
      <c r="A8">
        <f>ROW(Source!A30)</f>
        <v>30</v>
      </c>
      <c r="B8">
        <v>35026474</v>
      </c>
      <c r="C8">
        <v>35026660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237</v>
      </c>
      <c r="J8" t="s">
        <v>3</v>
      </c>
      <c r="K8" t="s">
        <v>238</v>
      </c>
      <c r="L8">
        <v>1191</v>
      </c>
      <c r="N8">
        <v>1013</v>
      </c>
      <c r="O8" t="s">
        <v>234</v>
      </c>
      <c r="P8" t="s">
        <v>234</v>
      </c>
      <c r="Q8">
        <v>1</v>
      </c>
      <c r="W8">
        <v>0</v>
      </c>
      <c r="X8">
        <v>-1417349443</v>
      </c>
      <c r="Y8">
        <v>12.43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12.43</v>
      </c>
      <c r="AU8" t="s">
        <v>3</v>
      </c>
      <c r="AV8">
        <v>2</v>
      </c>
      <c r="AW8">
        <v>2</v>
      </c>
      <c r="AX8">
        <v>35026666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Y8*Source!I30</f>
        <v>2.8638719999999998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ROW(Source!A30)</f>
        <v>30</v>
      </c>
      <c r="B9">
        <v>35026474</v>
      </c>
      <c r="C9">
        <v>35026660</v>
      </c>
      <c r="D9">
        <v>31518437</v>
      </c>
      <c r="E9">
        <v>1</v>
      </c>
      <c r="F9">
        <v>1</v>
      </c>
      <c r="G9">
        <v>1</v>
      </c>
      <c r="H9">
        <v>2</v>
      </c>
      <c r="I9" t="s">
        <v>251</v>
      </c>
      <c r="J9" t="s">
        <v>252</v>
      </c>
      <c r="K9" t="s">
        <v>253</v>
      </c>
      <c r="L9">
        <v>1368</v>
      </c>
      <c r="N9">
        <v>1011</v>
      </c>
      <c r="O9" t="s">
        <v>242</v>
      </c>
      <c r="P9" t="s">
        <v>242</v>
      </c>
      <c r="Q9">
        <v>1</v>
      </c>
      <c r="W9">
        <v>0</v>
      </c>
      <c r="X9">
        <v>-1071764843</v>
      </c>
      <c r="Y9">
        <v>3.16</v>
      </c>
      <c r="AA9">
        <v>0</v>
      </c>
      <c r="AB9">
        <v>79.069999999999993</v>
      </c>
      <c r="AC9">
        <v>13.5</v>
      </c>
      <c r="AD9">
        <v>0</v>
      </c>
      <c r="AE9">
        <v>0</v>
      </c>
      <c r="AF9">
        <v>79.069999999999993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3.16</v>
      </c>
      <c r="AU9" t="s">
        <v>3</v>
      </c>
      <c r="AV9">
        <v>0</v>
      </c>
      <c r="AW9">
        <v>2</v>
      </c>
      <c r="AX9">
        <v>35026667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Y9*Source!I30</f>
        <v>0.72806400000000004</v>
      </c>
      <c r="CY9">
        <f>AB9</f>
        <v>79.069999999999993</v>
      </c>
      <c r="CZ9">
        <f>AF9</f>
        <v>79.069999999999993</v>
      </c>
      <c r="DA9">
        <f>AJ9</f>
        <v>1</v>
      </c>
      <c r="DB9">
        <v>0</v>
      </c>
    </row>
    <row r="10" spans="1:106" x14ac:dyDescent="0.2">
      <c r="A10">
        <f>ROW(Source!A30)</f>
        <v>30</v>
      </c>
      <c r="B10">
        <v>35026474</v>
      </c>
      <c r="C10">
        <v>35026660</v>
      </c>
      <c r="D10">
        <v>31518552</v>
      </c>
      <c r="E10">
        <v>1</v>
      </c>
      <c r="F10">
        <v>1</v>
      </c>
      <c r="G10">
        <v>1</v>
      </c>
      <c r="H10">
        <v>2</v>
      </c>
      <c r="I10" t="s">
        <v>254</v>
      </c>
      <c r="J10" t="s">
        <v>255</v>
      </c>
      <c r="K10" t="s">
        <v>256</v>
      </c>
      <c r="L10">
        <v>1368</v>
      </c>
      <c r="N10">
        <v>1011</v>
      </c>
      <c r="O10" t="s">
        <v>242</v>
      </c>
      <c r="P10" t="s">
        <v>242</v>
      </c>
      <c r="Q10">
        <v>1</v>
      </c>
      <c r="W10">
        <v>0</v>
      </c>
      <c r="X10">
        <v>1432324721</v>
      </c>
      <c r="Y10">
        <v>9.27</v>
      </c>
      <c r="AA10">
        <v>0</v>
      </c>
      <c r="AB10">
        <v>115.27</v>
      </c>
      <c r="AC10">
        <v>13.5</v>
      </c>
      <c r="AD10">
        <v>0</v>
      </c>
      <c r="AE10">
        <v>0</v>
      </c>
      <c r="AF10">
        <v>115.27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9.27</v>
      </c>
      <c r="AU10" t="s">
        <v>3</v>
      </c>
      <c r="AV10">
        <v>0</v>
      </c>
      <c r="AW10">
        <v>2</v>
      </c>
      <c r="AX10">
        <v>35026668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Y10*Source!I30</f>
        <v>2.1358079999999999</v>
      </c>
      <c r="CY10">
        <f>AB10</f>
        <v>115.27</v>
      </c>
      <c r="CZ10">
        <f>AF10</f>
        <v>115.27</v>
      </c>
      <c r="DA10">
        <f>AJ10</f>
        <v>1</v>
      </c>
      <c r="DB10">
        <v>0</v>
      </c>
    </row>
    <row r="11" spans="1:106" x14ac:dyDescent="0.2">
      <c r="A11">
        <f>ROW(Source!A69)</f>
        <v>69</v>
      </c>
      <c r="B11">
        <v>35026474</v>
      </c>
      <c r="C11">
        <v>35027055</v>
      </c>
      <c r="D11">
        <v>31703848</v>
      </c>
      <c r="E11">
        <v>1</v>
      </c>
      <c r="F11">
        <v>1</v>
      </c>
      <c r="G11">
        <v>1</v>
      </c>
      <c r="H11">
        <v>1</v>
      </c>
      <c r="I11" t="s">
        <v>249</v>
      </c>
      <c r="J11" t="s">
        <v>3</v>
      </c>
      <c r="K11" t="s">
        <v>250</v>
      </c>
      <c r="L11">
        <v>1191</v>
      </c>
      <c r="N11">
        <v>1013</v>
      </c>
      <c r="O11" t="s">
        <v>234</v>
      </c>
      <c r="P11" t="s">
        <v>234</v>
      </c>
      <c r="Q11">
        <v>1</v>
      </c>
      <c r="W11">
        <v>0</v>
      </c>
      <c r="X11">
        <v>735429535</v>
      </c>
      <c r="Y11">
        <v>67.5</v>
      </c>
      <c r="AA11">
        <v>0</v>
      </c>
      <c r="AB11">
        <v>0</v>
      </c>
      <c r="AC11">
        <v>0</v>
      </c>
      <c r="AD11">
        <v>7.8</v>
      </c>
      <c r="AE11">
        <v>0</v>
      </c>
      <c r="AF11">
        <v>0</v>
      </c>
      <c r="AG11">
        <v>0</v>
      </c>
      <c r="AH11">
        <v>7.8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67.5</v>
      </c>
      <c r="AU11" t="s">
        <v>3</v>
      </c>
      <c r="AV11">
        <v>1</v>
      </c>
      <c r="AW11">
        <v>2</v>
      </c>
      <c r="AX11">
        <v>35027108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Y11*Source!I69</f>
        <v>742.5</v>
      </c>
      <c r="CY11">
        <f>AD11</f>
        <v>7.8</v>
      </c>
      <c r="CZ11">
        <f>AH11</f>
        <v>7.8</v>
      </c>
      <c r="DA11">
        <f>AL11</f>
        <v>1</v>
      </c>
      <c r="DB11">
        <v>0</v>
      </c>
    </row>
    <row r="12" spans="1:106" x14ac:dyDescent="0.2">
      <c r="A12">
        <f>ROW(Source!A69)</f>
        <v>69</v>
      </c>
      <c r="B12">
        <v>35026474</v>
      </c>
      <c r="C12">
        <v>35027055</v>
      </c>
      <c r="D12">
        <v>31703727</v>
      </c>
      <c r="E12">
        <v>1</v>
      </c>
      <c r="F12">
        <v>1</v>
      </c>
      <c r="G12">
        <v>1</v>
      </c>
      <c r="H12">
        <v>1</v>
      </c>
      <c r="I12" t="s">
        <v>237</v>
      </c>
      <c r="J12" t="s">
        <v>3</v>
      </c>
      <c r="K12" t="s">
        <v>238</v>
      </c>
      <c r="L12">
        <v>1191</v>
      </c>
      <c r="N12">
        <v>1013</v>
      </c>
      <c r="O12" t="s">
        <v>234</v>
      </c>
      <c r="P12" t="s">
        <v>234</v>
      </c>
      <c r="Q12">
        <v>1</v>
      </c>
      <c r="W12">
        <v>0</v>
      </c>
      <c r="X12">
        <v>-1417349443</v>
      </c>
      <c r="Y12">
        <v>1.43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1.43</v>
      </c>
      <c r="AU12" t="s">
        <v>3</v>
      </c>
      <c r="AV12">
        <v>2</v>
      </c>
      <c r="AW12">
        <v>2</v>
      </c>
      <c r="AX12">
        <v>35027109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Y12*Source!I69</f>
        <v>15.729999999999999</v>
      </c>
      <c r="CY12">
        <f>AD12</f>
        <v>0</v>
      </c>
      <c r="CZ12">
        <f>AH12</f>
        <v>0</v>
      </c>
      <c r="DA12">
        <f>AL12</f>
        <v>1</v>
      </c>
      <c r="DB12">
        <v>0</v>
      </c>
    </row>
    <row r="13" spans="1:106" x14ac:dyDescent="0.2">
      <c r="A13">
        <f>ROW(Source!A69)</f>
        <v>69</v>
      </c>
      <c r="B13">
        <v>35026474</v>
      </c>
      <c r="C13">
        <v>35027055</v>
      </c>
      <c r="D13">
        <v>31518564</v>
      </c>
      <c r="E13">
        <v>1</v>
      </c>
      <c r="F13">
        <v>1</v>
      </c>
      <c r="G13">
        <v>1</v>
      </c>
      <c r="H13">
        <v>2</v>
      </c>
      <c r="I13" t="s">
        <v>257</v>
      </c>
      <c r="J13" t="s">
        <v>258</v>
      </c>
      <c r="K13" t="s">
        <v>259</v>
      </c>
      <c r="L13">
        <v>1368</v>
      </c>
      <c r="N13">
        <v>1011</v>
      </c>
      <c r="O13" t="s">
        <v>242</v>
      </c>
      <c r="P13" t="s">
        <v>242</v>
      </c>
      <c r="Q13">
        <v>1</v>
      </c>
      <c r="W13">
        <v>0</v>
      </c>
      <c r="X13">
        <v>312278592</v>
      </c>
      <c r="Y13">
        <v>1.43</v>
      </c>
      <c r="AA13">
        <v>0</v>
      </c>
      <c r="AB13">
        <v>70.010000000000005</v>
      </c>
      <c r="AC13">
        <v>11.6</v>
      </c>
      <c r="AD13">
        <v>0</v>
      </c>
      <c r="AE13">
        <v>0</v>
      </c>
      <c r="AF13">
        <v>70.010000000000005</v>
      </c>
      <c r="AG13">
        <v>11.6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3</v>
      </c>
      <c r="AT13">
        <v>1.43</v>
      </c>
      <c r="AU13" t="s">
        <v>3</v>
      </c>
      <c r="AV13">
        <v>0</v>
      </c>
      <c r="AW13">
        <v>2</v>
      </c>
      <c r="AX13">
        <v>35027110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Y13*Source!I69</f>
        <v>15.729999999999999</v>
      </c>
      <c r="CY13">
        <f>AB13</f>
        <v>70.010000000000005</v>
      </c>
      <c r="CZ13">
        <f>AF13</f>
        <v>70.010000000000005</v>
      </c>
      <c r="DA13">
        <f>AJ13</f>
        <v>1</v>
      </c>
      <c r="DB13">
        <v>0</v>
      </c>
    </row>
    <row r="14" spans="1:106" x14ac:dyDescent="0.2">
      <c r="A14">
        <f>ROW(Source!A69)</f>
        <v>69</v>
      </c>
      <c r="B14">
        <v>35026474</v>
      </c>
      <c r="C14">
        <v>35027055</v>
      </c>
      <c r="D14">
        <v>31477053</v>
      </c>
      <c r="E14">
        <v>1</v>
      </c>
      <c r="F14">
        <v>1</v>
      </c>
      <c r="G14">
        <v>1</v>
      </c>
      <c r="H14">
        <v>3</v>
      </c>
      <c r="I14" t="s">
        <v>260</v>
      </c>
      <c r="J14" t="s">
        <v>261</v>
      </c>
      <c r="K14" t="s">
        <v>262</v>
      </c>
      <c r="L14">
        <v>1339</v>
      </c>
      <c r="N14">
        <v>1007</v>
      </c>
      <c r="O14" t="s">
        <v>128</v>
      </c>
      <c r="P14" t="s">
        <v>128</v>
      </c>
      <c r="Q14">
        <v>1</v>
      </c>
      <c r="W14">
        <v>0</v>
      </c>
      <c r="X14">
        <v>-34043592</v>
      </c>
      <c r="Y14">
        <v>23.4</v>
      </c>
      <c r="AA14">
        <v>131.9</v>
      </c>
      <c r="AB14">
        <v>0</v>
      </c>
      <c r="AC14">
        <v>0</v>
      </c>
      <c r="AD14">
        <v>0</v>
      </c>
      <c r="AE14">
        <v>131.9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23.4</v>
      </c>
      <c r="AU14" t="s">
        <v>3</v>
      </c>
      <c r="AV14">
        <v>0</v>
      </c>
      <c r="AW14">
        <v>2</v>
      </c>
      <c r="AX14">
        <v>35027111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Y14*Source!I69</f>
        <v>257.39999999999998</v>
      </c>
      <c r="CY14">
        <f>AA14</f>
        <v>131.9</v>
      </c>
      <c r="CZ14">
        <f>AE14</f>
        <v>131.9</v>
      </c>
      <c r="DA14">
        <f>AI14</f>
        <v>1</v>
      </c>
      <c r="DB14">
        <v>0</v>
      </c>
    </row>
    <row r="15" spans="1:106" x14ac:dyDescent="0.2">
      <c r="A15">
        <f>ROW(Source!A69)</f>
        <v>69</v>
      </c>
      <c r="B15">
        <v>35026474</v>
      </c>
      <c r="C15">
        <v>35027055</v>
      </c>
      <c r="D15">
        <v>31477398</v>
      </c>
      <c r="E15">
        <v>1</v>
      </c>
      <c r="F15">
        <v>1</v>
      </c>
      <c r="G15">
        <v>1</v>
      </c>
      <c r="H15">
        <v>3</v>
      </c>
      <c r="I15" t="s">
        <v>118</v>
      </c>
      <c r="J15" t="s">
        <v>121</v>
      </c>
      <c r="K15" t="s">
        <v>119</v>
      </c>
      <c r="L15">
        <v>1346</v>
      </c>
      <c r="N15">
        <v>1009</v>
      </c>
      <c r="O15" t="s">
        <v>120</v>
      </c>
      <c r="P15" t="s">
        <v>120</v>
      </c>
      <c r="Q15">
        <v>1</v>
      </c>
      <c r="W15">
        <v>0</v>
      </c>
      <c r="X15">
        <v>1546738769</v>
      </c>
      <c r="Y15">
        <v>1</v>
      </c>
      <c r="AA15">
        <v>64.260000000000005</v>
      </c>
      <c r="AB15">
        <v>0</v>
      </c>
      <c r="AC15">
        <v>0</v>
      </c>
      <c r="AD15">
        <v>0</v>
      </c>
      <c r="AE15">
        <v>8.66</v>
      </c>
      <c r="AF15">
        <v>0</v>
      </c>
      <c r="AG15">
        <v>0</v>
      </c>
      <c r="AH15">
        <v>0</v>
      </c>
      <c r="AI15">
        <v>7.42</v>
      </c>
      <c r="AJ15">
        <v>1</v>
      </c>
      <c r="AK15">
        <v>1</v>
      </c>
      <c r="AL15">
        <v>1</v>
      </c>
      <c r="AN15">
        <v>0</v>
      </c>
      <c r="AO15">
        <v>0</v>
      </c>
      <c r="AP15">
        <v>0</v>
      </c>
      <c r="AQ15">
        <v>0</v>
      </c>
      <c r="AR15">
        <v>0</v>
      </c>
      <c r="AS15" t="s">
        <v>3</v>
      </c>
      <c r="AT15">
        <v>1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Y15*Source!I69</f>
        <v>11</v>
      </c>
      <c r="CY15">
        <f>AA15</f>
        <v>64.260000000000005</v>
      </c>
      <c r="CZ15">
        <f>AE15</f>
        <v>8.66</v>
      </c>
      <c r="DA15">
        <f>AI15</f>
        <v>7.42</v>
      </c>
      <c r="DB15">
        <v>0</v>
      </c>
    </row>
    <row r="16" spans="1:106" x14ac:dyDescent="0.2">
      <c r="A16">
        <f>ROW(Source!A74)</f>
        <v>74</v>
      </c>
      <c r="B16">
        <v>35026474</v>
      </c>
      <c r="C16">
        <v>35026692</v>
      </c>
      <c r="D16">
        <v>31709886</v>
      </c>
      <c r="E16">
        <v>1</v>
      </c>
      <c r="F16">
        <v>1</v>
      </c>
      <c r="G16">
        <v>1</v>
      </c>
      <c r="H16">
        <v>1</v>
      </c>
      <c r="I16" t="s">
        <v>263</v>
      </c>
      <c r="J16" t="s">
        <v>3</v>
      </c>
      <c r="K16" t="s">
        <v>264</v>
      </c>
      <c r="L16">
        <v>1191</v>
      </c>
      <c r="N16">
        <v>1013</v>
      </c>
      <c r="O16" t="s">
        <v>234</v>
      </c>
      <c r="P16" t="s">
        <v>234</v>
      </c>
      <c r="Q16">
        <v>1</v>
      </c>
      <c r="W16">
        <v>0</v>
      </c>
      <c r="X16">
        <v>1069510174</v>
      </c>
      <c r="Y16">
        <v>43.05</v>
      </c>
      <c r="AA16">
        <v>0</v>
      </c>
      <c r="AB16">
        <v>0</v>
      </c>
      <c r="AC16">
        <v>0</v>
      </c>
      <c r="AD16">
        <v>9.6199999999999992</v>
      </c>
      <c r="AE16">
        <v>0</v>
      </c>
      <c r="AF16">
        <v>0</v>
      </c>
      <c r="AG16">
        <v>0</v>
      </c>
      <c r="AH16">
        <v>9.6199999999999992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43.05</v>
      </c>
      <c r="AU16" t="s">
        <v>3</v>
      </c>
      <c r="AV16">
        <v>1</v>
      </c>
      <c r="AW16">
        <v>2</v>
      </c>
      <c r="AX16">
        <v>35027136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Y16*Source!I74</f>
        <v>473.54999999999995</v>
      </c>
      <c r="CY16">
        <f>AD16</f>
        <v>9.6199999999999992</v>
      </c>
      <c r="CZ16">
        <f>AH16</f>
        <v>9.6199999999999992</v>
      </c>
      <c r="DA16">
        <f>AL16</f>
        <v>1</v>
      </c>
      <c r="DB16">
        <v>0</v>
      </c>
    </row>
    <row r="17" spans="1:106" x14ac:dyDescent="0.2">
      <c r="A17">
        <f>ROW(Source!A74)</f>
        <v>74</v>
      </c>
      <c r="B17">
        <v>35026474</v>
      </c>
      <c r="C17">
        <v>35026692</v>
      </c>
      <c r="D17">
        <v>31703727</v>
      </c>
      <c r="E17">
        <v>1</v>
      </c>
      <c r="F17">
        <v>1</v>
      </c>
      <c r="G17">
        <v>1</v>
      </c>
      <c r="H17">
        <v>1</v>
      </c>
      <c r="I17" t="s">
        <v>237</v>
      </c>
      <c r="J17" t="s">
        <v>3</v>
      </c>
      <c r="K17" t="s">
        <v>238</v>
      </c>
      <c r="L17">
        <v>1191</v>
      </c>
      <c r="N17">
        <v>1013</v>
      </c>
      <c r="O17" t="s">
        <v>234</v>
      </c>
      <c r="P17" t="s">
        <v>234</v>
      </c>
      <c r="Q17">
        <v>1</v>
      </c>
      <c r="W17">
        <v>0</v>
      </c>
      <c r="X17">
        <v>-1417349443</v>
      </c>
      <c r="Y17">
        <v>3.25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3.25</v>
      </c>
      <c r="AU17" t="s">
        <v>3</v>
      </c>
      <c r="AV17">
        <v>2</v>
      </c>
      <c r="AW17">
        <v>2</v>
      </c>
      <c r="AX17">
        <v>35027137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Y17*Source!I74</f>
        <v>35.75</v>
      </c>
      <c r="CY17">
        <f>AD17</f>
        <v>0</v>
      </c>
      <c r="CZ17">
        <f>AH17</f>
        <v>0</v>
      </c>
      <c r="DA17">
        <f>AL17</f>
        <v>1</v>
      </c>
      <c r="DB17">
        <v>0</v>
      </c>
    </row>
    <row r="18" spans="1:106" x14ac:dyDescent="0.2">
      <c r="A18">
        <f>ROW(Source!A74)</f>
        <v>74</v>
      </c>
      <c r="B18">
        <v>35026474</v>
      </c>
      <c r="C18">
        <v>35026692</v>
      </c>
      <c r="D18">
        <v>31519244</v>
      </c>
      <c r="E18">
        <v>1</v>
      </c>
      <c r="F18">
        <v>1</v>
      </c>
      <c r="G18">
        <v>1</v>
      </c>
      <c r="H18">
        <v>2</v>
      </c>
      <c r="I18" t="s">
        <v>265</v>
      </c>
      <c r="J18" t="s">
        <v>266</v>
      </c>
      <c r="K18" t="s">
        <v>267</v>
      </c>
      <c r="L18">
        <v>1368</v>
      </c>
      <c r="N18">
        <v>1011</v>
      </c>
      <c r="O18" t="s">
        <v>242</v>
      </c>
      <c r="P18" t="s">
        <v>242</v>
      </c>
      <c r="Q18">
        <v>1</v>
      </c>
      <c r="W18">
        <v>0</v>
      </c>
      <c r="X18">
        <v>-1718674368</v>
      </c>
      <c r="Y18">
        <v>1.83</v>
      </c>
      <c r="AA18">
        <v>0</v>
      </c>
      <c r="AB18">
        <v>111.99</v>
      </c>
      <c r="AC18">
        <v>13.5</v>
      </c>
      <c r="AD18">
        <v>0</v>
      </c>
      <c r="AE18">
        <v>0</v>
      </c>
      <c r="AF18">
        <v>111.99</v>
      </c>
      <c r="AG18">
        <v>13.5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1.83</v>
      </c>
      <c r="AU18" t="s">
        <v>3</v>
      </c>
      <c r="AV18">
        <v>0</v>
      </c>
      <c r="AW18">
        <v>2</v>
      </c>
      <c r="AX18">
        <v>35027138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Y18*Source!I74</f>
        <v>20.130000000000003</v>
      </c>
      <c r="CY18">
        <f>AB18</f>
        <v>111.99</v>
      </c>
      <c r="CZ18">
        <f>AF18</f>
        <v>111.99</v>
      </c>
      <c r="DA18">
        <f>AJ18</f>
        <v>1</v>
      </c>
      <c r="DB18">
        <v>0</v>
      </c>
    </row>
    <row r="19" spans="1:106" x14ac:dyDescent="0.2">
      <c r="A19">
        <f>ROW(Source!A74)</f>
        <v>74</v>
      </c>
      <c r="B19">
        <v>35026474</v>
      </c>
      <c r="C19">
        <v>35026692</v>
      </c>
      <c r="D19">
        <v>31520575</v>
      </c>
      <c r="E19">
        <v>1</v>
      </c>
      <c r="F19">
        <v>1</v>
      </c>
      <c r="G19">
        <v>1</v>
      </c>
      <c r="H19">
        <v>2</v>
      </c>
      <c r="I19" t="s">
        <v>268</v>
      </c>
      <c r="J19" t="s">
        <v>269</v>
      </c>
      <c r="K19" t="s">
        <v>270</v>
      </c>
      <c r="L19">
        <v>1368</v>
      </c>
      <c r="N19">
        <v>1011</v>
      </c>
      <c r="O19" t="s">
        <v>242</v>
      </c>
      <c r="P19" t="s">
        <v>242</v>
      </c>
      <c r="Q19">
        <v>1</v>
      </c>
      <c r="W19">
        <v>0</v>
      </c>
      <c r="X19">
        <v>529073949</v>
      </c>
      <c r="Y19">
        <v>1.42</v>
      </c>
      <c r="AA19">
        <v>0</v>
      </c>
      <c r="AB19">
        <v>110</v>
      </c>
      <c r="AC19">
        <v>11.6</v>
      </c>
      <c r="AD19">
        <v>0</v>
      </c>
      <c r="AE19">
        <v>0</v>
      </c>
      <c r="AF19">
        <v>110</v>
      </c>
      <c r="AG19">
        <v>11.6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1.42</v>
      </c>
      <c r="AU19" t="s">
        <v>3</v>
      </c>
      <c r="AV19">
        <v>0</v>
      </c>
      <c r="AW19">
        <v>2</v>
      </c>
      <c r="AX19">
        <v>35027139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Y19*Source!I74</f>
        <v>15.62</v>
      </c>
      <c r="CY19">
        <f>AB19</f>
        <v>110</v>
      </c>
      <c r="CZ19">
        <f>AF19</f>
        <v>110</v>
      </c>
      <c r="DA19">
        <f>AJ19</f>
        <v>1</v>
      </c>
      <c r="DB19">
        <v>0</v>
      </c>
    </row>
    <row r="20" spans="1:106" x14ac:dyDescent="0.2">
      <c r="A20">
        <f>ROW(Source!A74)</f>
        <v>74</v>
      </c>
      <c r="B20">
        <v>35026474</v>
      </c>
      <c r="C20">
        <v>35026692</v>
      </c>
      <c r="D20">
        <v>31438650</v>
      </c>
      <c r="E20">
        <v>1</v>
      </c>
      <c r="F20">
        <v>1</v>
      </c>
      <c r="G20">
        <v>1</v>
      </c>
      <c r="H20">
        <v>3</v>
      </c>
      <c r="I20" t="s">
        <v>271</v>
      </c>
      <c r="J20" t="s">
        <v>272</v>
      </c>
      <c r="K20" t="s">
        <v>273</v>
      </c>
      <c r="L20">
        <v>1339</v>
      </c>
      <c r="N20">
        <v>1007</v>
      </c>
      <c r="O20" t="s">
        <v>128</v>
      </c>
      <c r="P20" t="s">
        <v>128</v>
      </c>
      <c r="Q20">
        <v>1</v>
      </c>
      <c r="W20">
        <v>0</v>
      </c>
      <c r="X20">
        <v>-1660354250</v>
      </c>
      <c r="Y20">
        <v>5.2</v>
      </c>
      <c r="AA20">
        <v>2.44</v>
      </c>
      <c r="AB20">
        <v>0</v>
      </c>
      <c r="AC20">
        <v>0</v>
      </c>
      <c r="AD20">
        <v>0</v>
      </c>
      <c r="AE20">
        <v>2.44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5.2</v>
      </c>
      <c r="AU20" t="s">
        <v>3</v>
      </c>
      <c r="AV20">
        <v>0</v>
      </c>
      <c r="AW20">
        <v>2</v>
      </c>
      <c r="AX20">
        <v>35027140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Y20*Source!I74</f>
        <v>57.2</v>
      </c>
      <c r="CY20">
        <f t="shared" ref="CY20:CY25" si="0">AA20</f>
        <v>2.44</v>
      </c>
      <c r="CZ20">
        <f t="shared" ref="CZ20:CZ25" si="1">AE20</f>
        <v>2.44</v>
      </c>
      <c r="DA20">
        <f t="shared" ref="DA20:DA25" si="2">AI20</f>
        <v>1</v>
      </c>
      <c r="DB20">
        <v>0</v>
      </c>
    </row>
    <row r="21" spans="1:106" x14ac:dyDescent="0.2">
      <c r="A21">
        <f>ROW(Source!A74)</f>
        <v>74</v>
      </c>
      <c r="B21">
        <v>35026474</v>
      </c>
      <c r="C21">
        <v>35026692</v>
      </c>
      <c r="D21">
        <v>31442373</v>
      </c>
      <c r="E21">
        <v>1</v>
      </c>
      <c r="F21">
        <v>1</v>
      </c>
      <c r="G21">
        <v>1</v>
      </c>
      <c r="H21">
        <v>3</v>
      </c>
      <c r="I21" t="s">
        <v>274</v>
      </c>
      <c r="J21" t="s">
        <v>275</v>
      </c>
      <c r="K21" t="s">
        <v>276</v>
      </c>
      <c r="L21">
        <v>1348</v>
      </c>
      <c r="N21">
        <v>1009</v>
      </c>
      <c r="O21" t="s">
        <v>50</v>
      </c>
      <c r="P21" t="s">
        <v>50</v>
      </c>
      <c r="Q21">
        <v>1000</v>
      </c>
      <c r="W21">
        <v>0</v>
      </c>
      <c r="X21">
        <v>1598981629</v>
      </c>
      <c r="Y21">
        <v>2.9999999999999997E-4</v>
      </c>
      <c r="AA21">
        <v>37600.01</v>
      </c>
      <c r="AB21">
        <v>0</v>
      </c>
      <c r="AC21">
        <v>0</v>
      </c>
      <c r="AD21">
        <v>0</v>
      </c>
      <c r="AE21">
        <v>37600.01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2.9999999999999997E-4</v>
      </c>
      <c r="AU21" t="s">
        <v>3</v>
      </c>
      <c r="AV21">
        <v>0</v>
      </c>
      <c r="AW21">
        <v>2</v>
      </c>
      <c r="AX21">
        <v>35027141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Y21*Source!I74</f>
        <v>3.2999999999999995E-3</v>
      </c>
      <c r="CY21">
        <f t="shared" si="0"/>
        <v>37600.01</v>
      </c>
      <c r="CZ21">
        <f t="shared" si="1"/>
        <v>37600.01</v>
      </c>
      <c r="DA21">
        <f t="shared" si="2"/>
        <v>1</v>
      </c>
      <c r="DB21">
        <v>0</v>
      </c>
    </row>
    <row r="22" spans="1:106" x14ac:dyDescent="0.2">
      <c r="A22">
        <f>ROW(Source!A74)</f>
        <v>74</v>
      </c>
      <c r="B22">
        <v>35026474</v>
      </c>
      <c r="C22">
        <v>35026692</v>
      </c>
      <c r="D22">
        <v>31442399</v>
      </c>
      <c r="E22">
        <v>1</v>
      </c>
      <c r="F22">
        <v>1</v>
      </c>
      <c r="G22">
        <v>1</v>
      </c>
      <c r="H22">
        <v>3</v>
      </c>
      <c r="I22" t="s">
        <v>277</v>
      </c>
      <c r="J22" t="s">
        <v>278</v>
      </c>
      <c r="K22" t="s">
        <v>279</v>
      </c>
      <c r="L22">
        <v>1330</v>
      </c>
      <c r="N22">
        <v>1005</v>
      </c>
      <c r="O22" t="s">
        <v>280</v>
      </c>
      <c r="P22" t="s">
        <v>280</v>
      </c>
      <c r="Q22">
        <v>10</v>
      </c>
      <c r="W22">
        <v>0</v>
      </c>
      <c r="X22">
        <v>-1865916384</v>
      </c>
      <c r="Y22">
        <v>0.15</v>
      </c>
      <c r="AA22">
        <v>84.75</v>
      </c>
      <c r="AB22">
        <v>0</v>
      </c>
      <c r="AC22">
        <v>0</v>
      </c>
      <c r="AD22">
        <v>0</v>
      </c>
      <c r="AE22">
        <v>84.75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0.15</v>
      </c>
      <c r="AU22" t="s">
        <v>3</v>
      </c>
      <c r="AV22">
        <v>0</v>
      </c>
      <c r="AW22">
        <v>2</v>
      </c>
      <c r="AX22">
        <v>35027142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Y22*Source!I74</f>
        <v>1.65</v>
      </c>
      <c r="CY22">
        <f t="shared" si="0"/>
        <v>84.75</v>
      </c>
      <c r="CZ22">
        <f t="shared" si="1"/>
        <v>84.75</v>
      </c>
      <c r="DA22">
        <f t="shared" si="2"/>
        <v>1</v>
      </c>
      <c r="DB22">
        <v>0</v>
      </c>
    </row>
    <row r="23" spans="1:106" x14ac:dyDescent="0.2">
      <c r="A23">
        <f>ROW(Source!A74)</f>
        <v>74</v>
      </c>
      <c r="B23">
        <v>35026474</v>
      </c>
      <c r="C23">
        <v>35026692</v>
      </c>
      <c r="D23">
        <v>31467699</v>
      </c>
      <c r="E23">
        <v>1</v>
      </c>
      <c r="F23">
        <v>1</v>
      </c>
      <c r="G23">
        <v>1</v>
      </c>
      <c r="H23">
        <v>3</v>
      </c>
      <c r="I23" t="s">
        <v>281</v>
      </c>
      <c r="J23" t="s">
        <v>282</v>
      </c>
      <c r="K23" t="s">
        <v>283</v>
      </c>
      <c r="L23">
        <v>1354</v>
      </c>
      <c r="N23">
        <v>1010</v>
      </c>
      <c r="O23" t="s">
        <v>284</v>
      </c>
      <c r="P23" t="s">
        <v>284</v>
      </c>
      <c r="Q23">
        <v>1</v>
      </c>
      <c r="W23">
        <v>0</v>
      </c>
      <c r="X23">
        <v>-346636841</v>
      </c>
      <c r="Y23">
        <v>20</v>
      </c>
      <c r="AA23">
        <v>18.96</v>
      </c>
      <c r="AB23">
        <v>0</v>
      </c>
      <c r="AC23">
        <v>0</v>
      </c>
      <c r="AD23">
        <v>0</v>
      </c>
      <c r="AE23">
        <v>18.96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20</v>
      </c>
      <c r="AU23" t="s">
        <v>3</v>
      </c>
      <c r="AV23">
        <v>0</v>
      </c>
      <c r="AW23">
        <v>2</v>
      </c>
      <c r="AX23">
        <v>35027143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Y23*Source!I74</f>
        <v>220</v>
      </c>
      <c r="CY23">
        <f t="shared" si="0"/>
        <v>18.96</v>
      </c>
      <c r="CZ23">
        <f t="shared" si="1"/>
        <v>18.96</v>
      </c>
      <c r="DA23">
        <f t="shared" si="2"/>
        <v>1</v>
      </c>
      <c r="DB23">
        <v>0</v>
      </c>
    </row>
    <row r="24" spans="1:106" x14ac:dyDescent="0.2">
      <c r="A24">
        <f>ROW(Source!A74)</f>
        <v>74</v>
      </c>
      <c r="B24">
        <v>35026474</v>
      </c>
      <c r="C24">
        <v>35026692</v>
      </c>
      <c r="D24">
        <v>0</v>
      </c>
      <c r="E24">
        <v>1</v>
      </c>
      <c r="F24">
        <v>1</v>
      </c>
      <c r="G24">
        <v>1</v>
      </c>
      <c r="H24">
        <v>3</v>
      </c>
      <c r="I24" t="s">
        <v>135</v>
      </c>
      <c r="J24" t="s">
        <v>3</v>
      </c>
      <c r="K24" t="s">
        <v>136</v>
      </c>
      <c r="L24">
        <v>1371</v>
      </c>
      <c r="N24">
        <v>1013</v>
      </c>
      <c r="O24" t="s">
        <v>137</v>
      </c>
      <c r="P24" t="s">
        <v>137</v>
      </c>
      <c r="Q24">
        <v>1</v>
      </c>
      <c r="W24">
        <v>0</v>
      </c>
      <c r="X24">
        <v>1806329505</v>
      </c>
      <c r="Y24">
        <v>2.1818179999999998</v>
      </c>
      <c r="AA24">
        <v>81076.27</v>
      </c>
      <c r="AB24">
        <v>0</v>
      </c>
      <c r="AC24">
        <v>0</v>
      </c>
      <c r="AD24">
        <v>0</v>
      </c>
      <c r="AE24">
        <v>11765.02</v>
      </c>
      <c r="AF24">
        <v>0</v>
      </c>
      <c r="AG24">
        <v>0</v>
      </c>
      <c r="AH24">
        <v>0</v>
      </c>
      <c r="AI24">
        <v>7.24</v>
      </c>
      <c r="AJ24">
        <v>1</v>
      </c>
      <c r="AK24">
        <v>1</v>
      </c>
      <c r="AL24">
        <v>1</v>
      </c>
      <c r="AN24">
        <v>0</v>
      </c>
      <c r="AO24">
        <v>0</v>
      </c>
      <c r="AP24">
        <v>0</v>
      </c>
      <c r="AQ24">
        <v>0</v>
      </c>
      <c r="AR24">
        <v>0</v>
      </c>
      <c r="AS24" t="s">
        <v>3</v>
      </c>
      <c r="AT24">
        <v>2.1818179999999998</v>
      </c>
      <c r="AU24" t="s">
        <v>3</v>
      </c>
      <c r="AV24">
        <v>0</v>
      </c>
      <c r="AW24">
        <v>1</v>
      </c>
      <c r="AX24">
        <v>-1</v>
      </c>
      <c r="AY24">
        <v>0</v>
      </c>
      <c r="AZ24">
        <v>0</v>
      </c>
      <c r="BA24" t="s">
        <v>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Y24*Source!I74</f>
        <v>23.999997999999998</v>
      </c>
      <c r="CY24">
        <f t="shared" si="0"/>
        <v>81076.27</v>
      </c>
      <c r="CZ24">
        <f t="shared" si="1"/>
        <v>11765.02</v>
      </c>
      <c r="DA24">
        <f t="shared" si="2"/>
        <v>7.24</v>
      </c>
      <c r="DB24">
        <v>0</v>
      </c>
    </row>
    <row r="25" spans="1:106" x14ac:dyDescent="0.2">
      <c r="A25">
        <f>ROW(Source!A74)</f>
        <v>74</v>
      </c>
      <c r="B25">
        <v>35026474</v>
      </c>
      <c r="C25">
        <v>35026692</v>
      </c>
      <c r="D25">
        <v>0</v>
      </c>
      <c r="E25">
        <v>1</v>
      </c>
      <c r="F25">
        <v>1</v>
      </c>
      <c r="G25">
        <v>1</v>
      </c>
      <c r="H25">
        <v>3</v>
      </c>
      <c r="I25" t="s">
        <v>140</v>
      </c>
      <c r="J25" t="s">
        <v>3</v>
      </c>
      <c r="K25" t="s">
        <v>141</v>
      </c>
      <c r="L25">
        <v>1371</v>
      </c>
      <c r="N25">
        <v>1013</v>
      </c>
      <c r="O25" t="s">
        <v>137</v>
      </c>
      <c r="P25" t="s">
        <v>137</v>
      </c>
      <c r="Q25">
        <v>1</v>
      </c>
      <c r="W25">
        <v>0</v>
      </c>
      <c r="X25">
        <v>-1305323175</v>
      </c>
      <c r="Y25">
        <v>7.8181820000000002</v>
      </c>
      <c r="AA25">
        <v>91525.42</v>
      </c>
      <c r="AB25">
        <v>0</v>
      </c>
      <c r="AC25">
        <v>0</v>
      </c>
      <c r="AD25">
        <v>0</v>
      </c>
      <c r="AE25">
        <v>13281.3</v>
      </c>
      <c r="AF25">
        <v>0</v>
      </c>
      <c r="AG25">
        <v>0</v>
      </c>
      <c r="AH25">
        <v>0</v>
      </c>
      <c r="AI25">
        <v>7.24</v>
      </c>
      <c r="AJ25">
        <v>1</v>
      </c>
      <c r="AK25">
        <v>1</v>
      </c>
      <c r="AL25">
        <v>1</v>
      </c>
      <c r="AN25">
        <v>0</v>
      </c>
      <c r="AO25">
        <v>0</v>
      </c>
      <c r="AP25">
        <v>0</v>
      </c>
      <c r="AQ25">
        <v>0</v>
      </c>
      <c r="AR25">
        <v>0</v>
      </c>
      <c r="AS25" t="s">
        <v>3</v>
      </c>
      <c r="AT25">
        <v>7.8181820000000002</v>
      </c>
      <c r="AU25" t="s">
        <v>3</v>
      </c>
      <c r="AV25">
        <v>0</v>
      </c>
      <c r="AW25">
        <v>1</v>
      </c>
      <c r="AX25">
        <v>-1</v>
      </c>
      <c r="AY25">
        <v>0</v>
      </c>
      <c r="AZ25">
        <v>0</v>
      </c>
      <c r="BA25" t="s">
        <v>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Y25*Source!I74</f>
        <v>86.000001999999995</v>
      </c>
      <c r="CY25">
        <f t="shared" si="0"/>
        <v>91525.42</v>
      </c>
      <c r="CZ25">
        <f t="shared" si="1"/>
        <v>13281.3</v>
      </c>
      <c r="DA25">
        <f t="shared" si="2"/>
        <v>7.24</v>
      </c>
      <c r="DB25">
        <v>0</v>
      </c>
    </row>
    <row r="26" spans="1:106" x14ac:dyDescent="0.2">
      <c r="A26">
        <f>ROW(Source!A77)</f>
        <v>77</v>
      </c>
      <c r="B26">
        <v>35026474</v>
      </c>
      <c r="C26">
        <v>35026714</v>
      </c>
      <c r="D26">
        <v>31708430</v>
      </c>
      <c r="E26">
        <v>1</v>
      </c>
      <c r="F26">
        <v>1</v>
      </c>
      <c r="G26">
        <v>1</v>
      </c>
      <c r="H26">
        <v>1</v>
      </c>
      <c r="I26" t="s">
        <v>285</v>
      </c>
      <c r="J26" t="s">
        <v>3</v>
      </c>
      <c r="K26" t="s">
        <v>286</v>
      </c>
      <c r="L26">
        <v>1191</v>
      </c>
      <c r="N26">
        <v>1013</v>
      </c>
      <c r="O26" t="s">
        <v>234</v>
      </c>
      <c r="P26" t="s">
        <v>234</v>
      </c>
      <c r="Q26">
        <v>1</v>
      </c>
      <c r="W26">
        <v>0</v>
      </c>
      <c r="X26">
        <v>1010519658</v>
      </c>
      <c r="Y26">
        <v>1.31</v>
      </c>
      <c r="AA26">
        <v>0</v>
      </c>
      <c r="AB26">
        <v>0</v>
      </c>
      <c r="AC26">
        <v>0</v>
      </c>
      <c r="AD26">
        <v>8.64</v>
      </c>
      <c r="AE26">
        <v>0</v>
      </c>
      <c r="AF26">
        <v>0</v>
      </c>
      <c r="AG26">
        <v>0</v>
      </c>
      <c r="AH26">
        <v>8.64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1.31</v>
      </c>
      <c r="AU26" t="s">
        <v>3</v>
      </c>
      <c r="AV26">
        <v>1</v>
      </c>
      <c r="AW26">
        <v>2</v>
      </c>
      <c r="AX26">
        <v>35026720</v>
      </c>
      <c r="AY26">
        <v>1</v>
      </c>
      <c r="AZ26">
        <v>0</v>
      </c>
      <c r="BA26">
        <v>25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Y26*Source!I77</f>
        <v>125.76</v>
      </c>
      <c r="CY26">
        <f>AD26</f>
        <v>8.64</v>
      </c>
      <c r="CZ26">
        <f>AH26</f>
        <v>8.64</v>
      </c>
      <c r="DA26">
        <f>AL26</f>
        <v>1</v>
      </c>
      <c r="DB26">
        <v>0</v>
      </c>
    </row>
    <row r="27" spans="1:106" x14ac:dyDescent="0.2">
      <c r="A27">
        <f>ROW(Source!A77)</f>
        <v>77</v>
      </c>
      <c r="B27">
        <v>35026474</v>
      </c>
      <c r="C27">
        <v>35026714</v>
      </c>
      <c r="D27">
        <v>31703727</v>
      </c>
      <c r="E27">
        <v>1</v>
      </c>
      <c r="F27">
        <v>1</v>
      </c>
      <c r="G27">
        <v>1</v>
      </c>
      <c r="H27">
        <v>1</v>
      </c>
      <c r="I27" t="s">
        <v>237</v>
      </c>
      <c r="J27" t="s">
        <v>3</v>
      </c>
      <c r="K27" t="s">
        <v>238</v>
      </c>
      <c r="L27">
        <v>1191</v>
      </c>
      <c r="N27">
        <v>1013</v>
      </c>
      <c r="O27" t="s">
        <v>234</v>
      </c>
      <c r="P27" t="s">
        <v>234</v>
      </c>
      <c r="Q27">
        <v>1</v>
      </c>
      <c r="W27">
        <v>0</v>
      </c>
      <c r="X27">
        <v>-1417349443</v>
      </c>
      <c r="Y27">
        <v>7.0000000000000007E-2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7.0000000000000007E-2</v>
      </c>
      <c r="AU27" t="s">
        <v>3</v>
      </c>
      <c r="AV27">
        <v>2</v>
      </c>
      <c r="AW27">
        <v>2</v>
      </c>
      <c r="AX27">
        <v>35026721</v>
      </c>
      <c r="AY27">
        <v>1</v>
      </c>
      <c r="AZ27">
        <v>0</v>
      </c>
      <c r="BA27">
        <v>26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Y27*Source!I77</f>
        <v>6.7200000000000006</v>
      </c>
      <c r="CY27">
        <f>AD27</f>
        <v>0</v>
      </c>
      <c r="CZ27">
        <f>AH27</f>
        <v>0</v>
      </c>
      <c r="DA27">
        <f>AL27</f>
        <v>1</v>
      </c>
      <c r="DB27">
        <v>0</v>
      </c>
    </row>
    <row r="28" spans="1:106" x14ac:dyDescent="0.2">
      <c r="A28">
        <f>ROW(Source!A77)</f>
        <v>77</v>
      </c>
      <c r="B28">
        <v>35026474</v>
      </c>
      <c r="C28">
        <v>35026714</v>
      </c>
      <c r="D28">
        <v>31520646</v>
      </c>
      <c r="E28">
        <v>1</v>
      </c>
      <c r="F28">
        <v>1</v>
      </c>
      <c r="G28">
        <v>1</v>
      </c>
      <c r="H28">
        <v>2</v>
      </c>
      <c r="I28" t="s">
        <v>287</v>
      </c>
      <c r="J28" t="s">
        <v>288</v>
      </c>
      <c r="K28" t="s">
        <v>289</v>
      </c>
      <c r="L28">
        <v>1368</v>
      </c>
      <c r="N28">
        <v>1011</v>
      </c>
      <c r="O28" t="s">
        <v>242</v>
      </c>
      <c r="P28" t="s">
        <v>242</v>
      </c>
      <c r="Q28">
        <v>1</v>
      </c>
      <c r="W28">
        <v>0</v>
      </c>
      <c r="X28">
        <v>1372534845</v>
      </c>
      <c r="Y28">
        <v>7.0000000000000007E-2</v>
      </c>
      <c r="AA28">
        <v>0</v>
      </c>
      <c r="AB28">
        <v>65.709999999999994</v>
      </c>
      <c r="AC28">
        <v>11.6</v>
      </c>
      <c r="AD28">
        <v>0</v>
      </c>
      <c r="AE28">
        <v>0</v>
      </c>
      <c r="AF28">
        <v>65.709999999999994</v>
      </c>
      <c r="AG28">
        <v>11.6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7.0000000000000007E-2</v>
      </c>
      <c r="AU28" t="s">
        <v>3</v>
      </c>
      <c r="AV28">
        <v>0</v>
      </c>
      <c r="AW28">
        <v>2</v>
      </c>
      <c r="AX28">
        <v>35026722</v>
      </c>
      <c r="AY28">
        <v>1</v>
      </c>
      <c r="AZ28">
        <v>0</v>
      </c>
      <c r="BA28">
        <v>27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Y28*Source!I77</f>
        <v>6.7200000000000006</v>
      </c>
      <c r="CY28">
        <f>AB28</f>
        <v>65.709999999999994</v>
      </c>
      <c r="CZ28">
        <f>AF28</f>
        <v>65.709999999999994</v>
      </c>
      <c r="DA28">
        <f>AJ28</f>
        <v>1</v>
      </c>
      <c r="DB28">
        <v>0</v>
      </c>
    </row>
    <row r="29" spans="1:106" x14ac:dyDescent="0.2">
      <c r="A29">
        <f>ROW(Source!A77)</f>
        <v>77</v>
      </c>
      <c r="B29">
        <v>35026474</v>
      </c>
      <c r="C29">
        <v>35026714</v>
      </c>
      <c r="D29">
        <v>31443955</v>
      </c>
      <c r="E29">
        <v>1</v>
      </c>
      <c r="F29">
        <v>1</v>
      </c>
      <c r="G29">
        <v>1</v>
      </c>
      <c r="H29">
        <v>3</v>
      </c>
      <c r="I29" t="s">
        <v>150</v>
      </c>
      <c r="J29" t="s">
        <v>152</v>
      </c>
      <c r="K29" t="s">
        <v>151</v>
      </c>
      <c r="L29">
        <v>1339</v>
      </c>
      <c r="N29">
        <v>1007</v>
      </c>
      <c r="O29" t="s">
        <v>128</v>
      </c>
      <c r="P29" t="s">
        <v>128</v>
      </c>
      <c r="Q29">
        <v>1</v>
      </c>
      <c r="W29">
        <v>1</v>
      </c>
      <c r="X29">
        <v>1329812617</v>
      </c>
      <c r="Y29">
        <v>-8.0000000000000004E-4</v>
      </c>
      <c r="AA29">
        <v>3890.25</v>
      </c>
      <c r="AB29">
        <v>0</v>
      </c>
      <c r="AC29">
        <v>0</v>
      </c>
      <c r="AD29">
        <v>0</v>
      </c>
      <c r="AE29">
        <v>665</v>
      </c>
      <c r="AF29">
        <v>0</v>
      </c>
      <c r="AG29">
        <v>0</v>
      </c>
      <c r="AH29">
        <v>0</v>
      </c>
      <c r="AI29">
        <v>5.85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-8.0000000000000004E-4</v>
      </c>
      <c r="AU29" t="s">
        <v>3</v>
      </c>
      <c r="AV29">
        <v>0</v>
      </c>
      <c r="AW29">
        <v>2</v>
      </c>
      <c r="AX29">
        <v>35026723</v>
      </c>
      <c r="AY29">
        <v>1</v>
      </c>
      <c r="AZ29">
        <v>6144</v>
      </c>
      <c r="BA29">
        <v>28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Y29*Source!I77</f>
        <v>-7.6800000000000007E-2</v>
      </c>
      <c r="CY29">
        <f>AA29</f>
        <v>3890.25</v>
      </c>
      <c r="CZ29">
        <f>AE29</f>
        <v>665</v>
      </c>
      <c r="DA29">
        <f>AI29</f>
        <v>5.85</v>
      </c>
      <c r="DB29">
        <v>0</v>
      </c>
    </row>
    <row r="30" spans="1:106" x14ac:dyDescent="0.2">
      <c r="A30">
        <f>ROW(Source!A77)</f>
        <v>77</v>
      </c>
      <c r="B30">
        <v>35026474</v>
      </c>
      <c r="C30">
        <v>35026714</v>
      </c>
      <c r="D30">
        <v>0</v>
      </c>
      <c r="E30">
        <v>0</v>
      </c>
      <c r="F30">
        <v>1</v>
      </c>
      <c r="G30">
        <v>1</v>
      </c>
      <c r="H30">
        <v>3</v>
      </c>
      <c r="I30" t="s">
        <v>154</v>
      </c>
      <c r="J30" t="s">
        <v>3</v>
      </c>
      <c r="K30" t="s">
        <v>155</v>
      </c>
      <c r="L30">
        <v>1371</v>
      </c>
      <c r="N30">
        <v>1013</v>
      </c>
      <c r="O30" t="s">
        <v>137</v>
      </c>
      <c r="P30" t="s">
        <v>137</v>
      </c>
      <c r="Q30">
        <v>1</v>
      </c>
      <c r="W30">
        <v>0</v>
      </c>
      <c r="X30">
        <v>386272307</v>
      </c>
      <c r="Y30">
        <v>1</v>
      </c>
      <c r="AA30">
        <v>20126.27</v>
      </c>
      <c r="AB30">
        <v>0</v>
      </c>
      <c r="AC30">
        <v>0</v>
      </c>
      <c r="AD30">
        <v>0</v>
      </c>
      <c r="AE30">
        <v>2920.54</v>
      </c>
      <c r="AF30">
        <v>0</v>
      </c>
      <c r="AG30">
        <v>0</v>
      </c>
      <c r="AH30">
        <v>0</v>
      </c>
      <c r="AI30">
        <v>7.24</v>
      </c>
      <c r="AJ30">
        <v>1</v>
      </c>
      <c r="AK30">
        <v>1</v>
      </c>
      <c r="AL30">
        <v>1</v>
      </c>
      <c r="AN30">
        <v>0</v>
      </c>
      <c r="AO30">
        <v>0</v>
      </c>
      <c r="AP30">
        <v>0</v>
      </c>
      <c r="AQ30">
        <v>0</v>
      </c>
      <c r="AR30">
        <v>0</v>
      </c>
      <c r="AS30" t="s">
        <v>3</v>
      </c>
      <c r="AT30">
        <v>1</v>
      </c>
      <c r="AU30" t="s">
        <v>3</v>
      </c>
      <c r="AV30">
        <v>0</v>
      </c>
      <c r="AW30">
        <v>1</v>
      </c>
      <c r="AX30">
        <v>-1</v>
      </c>
      <c r="AY30">
        <v>0</v>
      </c>
      <c r="AZ30">
        <v>0</v>
      </c>
      <c r="BA30" t="s">
        <v>3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Y30*Source!I77</f>
        <v>96</v>
      </c>
      <c r="CY30">
        <f>AA30</f>
        <v>20126.27</v>
      </c>
      <c r="CZ30">
        <f>AE30</f>
        <v>2920.54</v>
      </c>
      <c r="DA30">
        <f>AI30</f>
        <v>7.24</v>
      </c>
      <c r="DB30">
        <v>0</v>
      </c>
    </row>
    <row r="31" spans="1:106" x14ac:dyDescent="0.2">
      <c r="A31">
        <f>ROW(Source!A80)</f>
        <v>80</v>
      </c>
      <c r="B31">
        <v>35026474</v>
      </c>
      <c r="C31">
        <v>35026727</v>
      </c>
      <c r="D31">
        <v>31704098</v>
      </c>
      <c r="E31">
        <v>1</v>
      </c>
      <c r="F31">
        <v>1</v>
      </c>
      <c r="G31">
        <v>1</v>
      </c>
      <c r="H31">
        <v>1</v>
      </c>
      <c r="I31" t="s">
        <v>290</v>
      </c>
      <c r="J31" t="s">
        <v>3</v>
      </c>
      <c r="K31" t="s">
        <v>291</v>
      </c>
      <c r="L31">
        <v>1191</v>
      </c>
      <c r="N31">
        <v>1013</v>
      </c>
      <c r="O31" t="s">
        <v>234</v>
      </c>
      <c r="P31" t="s">
        <v>234</v>
      </c>
      <c r="Q31">
        <v>1</v>
      </c>
      <c r="W31">
        <v>0</v>
      </c>
      <c r="X31">
        <v>-400197608</v>
      </c>
      <c r="Y31">
        <v>44.24</v>
      </c>
      <c r="AA31">
        <v>0</v>
      </c>
      <c r="AB31">
        <v>0</v>
      </c>
      <c r="AC31">
        <v>0</v>
      </c>
      <c r="AD31">
        <v>8.5299999999999994</v>
      </c>
      <c r="AE31">
        <v>0</v>
      </c>
      <c r="AF31">
        <v>0</v>
      </c>
      <c r="AG31">
        <v>0</v>
      </c>
      <c r="AH31">
        <v>8.5299999999999994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44.24</v>
      </c>
      <c r="AU31" t="s">
        <v>3</v>
      </c>
      <c r="AV31">
        <v>1</v>
      </c>
      <c r="AW31">
        <v>2</v>
      </c>
      <c r="AX31">
        <v>35027164</v>
      </c>
      <c r="AY31">
        <v>1</v>
      </c>
      <c r="AZ31">
        <v>0</v>
      </c>
      <c r="BA31">
        <v>30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Y31*Source!I80</f>
        <v>486.64000000000004</v>
      </c>
      <c r="CY31">
        <f>AD31</f>
        <v>8.5299999999999994</v>
      </c>
      <c r="CZ31">
        <f>AH31</f>
        <v>8.5299999999999994</v>
      </c>
      <c r="DA31">
        <f>AL31</f>
        <v>1</v>
      </c>
      <c r="DB31">
        <v>0</v>
      </c>
    </row>
    <row r="32" spans="1:106" x14ac:dyDescent="0.2">
      <c r="A32">
        <f>ROW(Source!A80)</f>
        <v>80</v>
      </c>
      <c r="B32">
        <v>35026474</v>
      </c>
      <c r="C32">
        <v>35026727</v>
      </c>
      <c r="D32">
        <v>31703727</v>
      </c>
      <c r="E32">
        <v>1</v>
      </c>
      <c r="F32">
        <v>1</v>
      </c>
      <c r="G32">
        <v>1</v>
      </c>
      <c r="H32">
        <v>1</v>
      </c>
      <c r="I32" t="s">
        <v>237</v>
      </c>
      <c r="J32" t="s">
        <v>3</v>
      </c>
      <c r="K32" t="s">
        <v>238</v>
      </c>
      <c r="L32">
        <v>1191</v>
      </c>
      <c r="N32">
        <v>1013</v>
      </c>
      <c r="O32" t="s">
        <v>234</v>
      </c>
      <c r="P32" t="s">
        <v>234</v>
      </c>
      <c r="Q32">
        <v>1</v>
      </c>
      <c r="W32">
        <v>0</v>
      </c>
      <c r="X32">
        <v>-1417349443</v>
      </c>
      <c r="Y32">
        <v>2.74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2.74</v>
      </c>
      <c r="AU32" t="s">
        <v>3</v>
      </c>
      <c r="AV32">
        <v>2</v>
      </c>
      <c r="AW32">
        <v>2</v>
      </c>
      <c r="AX32">
        <v>35027165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Y32*Source!I80</f>
        <v>30.14</v>
      </c>
      <c r="CY32">
        <f>AD32</f>
        <v>0</v>
      </c>
      <c r="CZ32">
        <f>AH32</f>
        <v>0</v>
      </c>
      <c r="DA32">
        <f>AL32</f>
        <v>1</v>
      </c>
      <c r="DB32">
        <v>0</v>
      </c>
    </row>
    <row r="33" spans="1:106" x14ac:dyDescent="0.2">
      <c r="A33">
        <f>ROW(Source!A80)</f>
        <v>80</v>
      </c>
      <c r="B33">
        <v>35026474</v>
      </c>
      <c r="C33">
        <v>35026727</v>
      </c>
      <c r="D33">
        <v>31520575</v>
      </c>
      <c r="E33">
        <v>1</v>
      </c>
      <c r="F33">
        <v>1</v>
      </c>
      <c r="G33">
        <v>1</v>
      </c>
      <c r="H33">
        <v>2</v>
      </c>
      <c r="I33" t="s">
        <v>268</v>
      </c>
      <c r="J33" t="s">
        <v>269</v>
      </c>
      <c r="K33" t="s">
        <v>270</v>
      </c>
      <c r="L33">
        <v>1368</v>
      </c>
      <c r="N33">
        <v>1011</v>
      </c>
      <c r="O33" t="s">
        <v>242</v>
      </c>
      <c r="P33" t="s">
        <v>242</v>
      </c>
      <c r="Q33">
        <v>1</v>
      </c>
      <c r="W33">
        <v>0</v>
      </c>
      <c r="X33">
        <v>529073949</v>
      </c>
      <c r="Y33">
        <v>2.74</v>
      </c>
      <c r="AA33">
        <v>0</v>
      </c>
      <c r="AB33">
        <v>110</v>
      </c>
      <c r="AC33">
        <v>11.6</v>
      </c>
      <c r="AD33">
        <v>0</v>
      </c>
      <c r="AE33">
        <v>0</v>
      </c>
      <c r="AF33">
        <v>110</v>
      </c>
      <c r="AG33">
        <v>11.6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2.74</v>
      </c>
      <c r="AU33" t="s">
        <v>3</v>
      </c>
      <c r="AV33">
        <v>0</v>
      </c>
      <c r="AW33">
        <v>2</v>
      </c>
      <c r="AX33">
        <v>35027166</v>
      </c>
      <c r="AY33">
        <v>1</v>
      </c>
      <c r="AZ33">
        <v>0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Y33*Source!I80</f>
        <v>30.14</v>
      </c>
      <c r="CY33">
        <f>AB33</f>
        <v>110</v>
      </c>
      <c r="CZ33">
        <f>AF33</f>
        <v>110</v>
      </c>
      <c r="DA33">
        <f>AJ33</f>
        <v>1</v>
      </c>
      <c r="DB33">
        <v>0</v>
      </c>
    </row>
    <row r="34" spans="1:106" x14ac:dyDescent="0.2">
      <c r="A34">
        <f>ROW(Source!A80)</f>
        <v>80</v>
      </c>
      <c r="B34">
        <v>35026474</v>
      </c>
      <c r="C34">
        <v>35026727</v>
      </c>
      <c r="D34">
        <v>31438650</v>
      </c>
      <c r="E34">
        <v>1</v>
      </c>
      <c r="F34">
        <v>1</v>
      </c>
      <c r="G34">
        <v>1</v>
      </c>
      <c r="H34">
        <v>3</v>
      </c>
      <c r="I34" t="s">
        <v>271</v>
      </c>
      <c r="J34" t="s">
        <v>272</v>
      </c>
      <c r="K34" t="s">
        <v>273</v>
      </c>
      <c r="L34">
        <v>1339</v>
      </c>
      <c r="N34">
        <v>1007</v>
      </c>
      <c r="O34" t="s">
        <v>128</v>
      </c>
      <c r="P34" t="s">
        <v>128</v>
      </c>
      <c r="Q34">
        <v>1</v>
      </c>
      <c r="W34">
        <v>0</v>
      </c>
      <c r="X34">
        <v>-1660354250</v>
      </c>
      <c r="Y34">
        <v>10</v>
      </c>
      <c r="AA34">
        <v>2.44</v>
      </c>
      <c r="AB34">
        <v>0</v>
      </c>
      <c r="AC34">
        <v>0</v>
      </c>
      <c r="AD34">
        <v>0</v>
      </c>
      <c r="AE34">
        <v>2.44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10</v>
      </c>
      <c r="AU34" t="s">
        <v>3</v>
      </c>
      <c r="AV34">
        <v>0</v>
      </c>
      <c r="AW34">
        <v>2</v>
      </c>
      <c r="AX34">
        <v>35027167</v>
      </c>
      <c r="AY34">
        <v>1</v>
      </c>
      <c r="AZ34">
        <v>0</v>
      </c>
      <c r="BA34">
        <v>33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Y34*Source!I80</f>
        <v>110</v>
      </c>
      <c r="CY34">
        <f>AA34</f>
        <v>2.44</v>
      </c>
      <c r="CZ34">
        <f>AE34</f>
        <v>2.44</v>
      </c>
      <c r="DA34">
        <f>AI34</f>
        <v>1</v>
      </c>
      <c r="DB34">
        <v>0</v>
      </c>
    </row>
    <row r="35" spans="1:106" x14ac:dyDescent="0.2">
      <c r="A35">
        <f>ROW(Source!A80)</f>
        <v>80</v>
      </c>
      <c r="B35">
        <v>35026474</v>
      </c>
      <c r="C35">
        <v>35026727</v>
      </c>
      <c r="D35">
        <v>31442373</v>
      </c>
      <c r="E35">
        <v>1</v>
      </c>
      <c r="F35">
        <v>1</v>
      </c>
      <c r="G35">
        <v>1</v>
      </c>
      <c r="H35">
        <v>3</v>
      </c>
      <c r="I35" t="s">
        <v>274</v>
      </c>
      <c r="J35" t="s">
        <v>275</v>
      </c>
      <c r="K35" t="s">
        <v>276</v>
      </c>
      <c r="L35">
        <v>1348</v>
      </c>
      <c r="N35">
        <v>1009</v>
      </c>
      <c r="O35" t="s">
        <v>50</v>
      </c>
      <c r="P35" t="s">
        <v>50</v>
      </c>
      <c r="Q35">
        <v>1000</v>
      </c>
      <c r="W35">
        <v>0</v>
      </c>
      <c r="X35">
        <v>1598981629</v>
      </c>
      <c r="Y35">
        <v>6.9999999999999994E-5</v>
      </c>
      <c r="AA35">
        <v>37600.01</v>
      </c>
      <c r="AB35">
        <v>0</v>
      </c>
      <c r="AC35">
        <v>0</v>
      </c>
      <c r="AD35">
        <v>0</v>
      </c>
      <c r="AE35">
        <v>37600.01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6.9999999999999994E-5</v>
      </c>
      <c r="AU35" t="s">
        <v>3</v>
      </c>
      <c r="AV35">
        <v>0</v>
      </c>
      <c r="AW35">
        <v>2</v>
      </c>
      <c r="AX35">
        <v>35027168</v>
      </c>
      <c r="AY35">
        <v>1</v>
      </c>
      <c r="AZ35">
        <v>0</v>
      </c>
      <c r="BA35">
        <v>34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Y35*Source!I80</f>
        <v>7.6999999999999996E-4</v>
      </c>
      <c r="CY35">
        <f>AA35</f>
        <v>37600.01</v>
      </c>
      <c r="CZ35">
        <f>AE35</f>
        <v>37600.01</v>
      </c>
      <c r="DA35">
        <f>AI35</f>
        <v>1</v>
      </c>
      <c r="DB35">
        <v>0</v>
      </c>
    </row>
    <row r="36" spans="1:106" x14ac:dyDescent="0.2">
      <c r="A36">
        <f>ROW(Source!A80)</f>
        <v>80</v>
      </c>
      <c r="B36">
        <v>35026474</v>
      </c>
      <c r="C36">
        <v>35026727</v>
      </c>
      <c r="D36">
        <v>31442399</v>
      </c>
      <c r="E36">
        <v>1</v>
      </c>
      <c r="F36">
        <v>1</v>
      </c>
      <c r="G36">
        <v>1</v>
      </c>
      <c r="H36">
        <v>3</v>
      </c>
      <c r="I36" t="s">
        <v>277</v>
      </c>
      <c r="J36" t="s">
        <v>278</v>
      </c>
      <c r="K36" t="s">
        <v>279</v>
      </c>
      <c r="L36">
        <v>1330</v>
      </c>
      <c r="N36">
        <v>1005</v>
      </c>
      <c r="O36" t="s">
        <v>280</v>
      </c>
      <c r="P36" t="s">
        <v>280</v>
      </c>
      <c r="Q36">
        <v>10</v>
      </c>
      <c r="W36">
        <v>0</v>
      </c>
      <c r="X36">
        <v>-1865916384</v>
      </c>
      <c r="Y36">
        <v>0.15</v>
      </c>
      <c r="AA36">
        <v>84.75</v>
      </c>
      <c r="AB36">
        <v>0</v>
      </c>
      <c r="AC36">
        <v>0</v>
      </c>
      <c r="AD36">
        <v>0</v>
      </c>
      <c r="AE36">
        <v>84.75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0.15</v>
      </c>
      <c r="AU36" t="s">
        <v>3</v>
      </c>
      <c r="AV36">
        <v>0</v>
      </c>
      <c r="AW36">
        <v>2</v>
      </c>
      <c r="AX36">
        <v>35027169</v>
      </c>
      <c r="AY36">
        <v>1</v>
      </c>
      <c r="AZ36">
        <v>0</v>
      </c>
      <c r="BA36">
        <v>35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Y36*Source!I80</f>
        <v>1.65</v>
      </c>
      <c r="CY36">
        <f>AA36</f>
        <v>84.75</v>
      </c>
      <c r="CZ36">
        <f>AE36</f>
        <v>84.75</v>
      </c>
      <c r="DA36">
        <f>AI36</f>
        <v>1</v>
      </c>
      <c r="DB36">
        <v>0</v>
      </c>
    </row>
    <row r="37" spans="1:106" x14ac:dyDescent="0.2">
      <c r="A37">
        <f>ROW(Source!A80)</f>
        <v>80</v>
      </c>
      <c r="B37">
        <v>35026474</v>
      </c>
      <c r="C37">
        <v>35026727</v>
      </c>
      <c r="D37">
        <v>31467699</v>
      </c>
      <c r="E37">
        <v>1</v>
      </c>
      <c r="F37">
        <v>1</v>
      </c>
      <c r="G37">
        <v>1</v>
      </c>
      <c r="H37">
        <v>3</v>
      </c>
      <c r="I37" t="s">
        <v>281</v>
      </c>
      <c r="J37" t="s">
        <v>282</v>
      </c>
      <c r="K37" t="s">
        <v>283</v>
      </c>
      <c r="L37">
        <v>1354</v>
      </c>
      <c r="N37">
        <v>1010</v>
      </c>
      <c r="O37" t="s">
        <v>284</v>
      </c>
      <c r="P37" t="s">
        <v>284</v>
      </c>
      <c r="Q37">
        <v>1</v>
      </c>
      <c r="W37">
        <v>0</v>
      </c>
      <c r="X37">
        <v>-346636841</v>
      </c>
      <c r="Y37">
        <v>4</v>
      </c>
      <c r="AA37">
        <v>18.96</v>
      </c>
      <c r="AB37">
        <v>0</v>
      </c>
      <c r="AC37">
        <v>0</v>
      </c>
      <c r="AD37">
        <v>0</v>
      </c>
      <c r="AE37">
        <v>18.96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4</v>
      </c>
      <c r="AU37" t="s">
        <v>3</v>
      </c>
      <c r="AV37">
        <v>0</v>
      </c>
      <c r="AW37">
        <v>2</v>
      </c>
      <c r="AX37">
        <v>35027170</v>
      </c>
      <c r="AY37">
        <v>1</v>
      </c>
      <c r="AZ37">
        <v>0</v>
      </c>
      <c r="BA37">
        <v>36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Y37*Source!I80</f>
        <v>44</v>
      </c>
      <c r="CY37">
        <f>AA37</f>
        <v>18.96</v>
      </c>
      <c r="CZ37">
        <f>AE37</f>
        <v>18.96</v>
      </c>
      <c r="DA37">
        <f>AI37</f>
        <v>1</v>
      </c>
      <c r="DB37">
        <v>0</v>
      </c>
    </row>
    <row r="38" spans="1:106" x14ac:dyDescent="0.2">
      <c r="A38">
        <f>ROW(Source!A81)</f>
        <v>81</v>
      </c>
      <c r="B38">
        <v>35026474</v>
      </c>
      <c r="C38">
        <v>35027062</v>
      </c>
      <c r="D38">
        <v>31703848</v>
      </c>
      <c r="E38">
        <v>1</v>
      </c>
      <c r="F38">
        <v>1</v>
      </c>
      <c r="G38">
        <v>1</v>
      </c>
      <c r="H38">
        <v>1</v>
      </c>
      <c r="I38" t="s">
        <v>249</v>
      </c>
      <c r="J38" t="s">
        <v>3</v>
      </c>
      <c r="K38" t="s">
        <v>250</v>
      </c>
      <c r="L38">
        <v>1191</v>
      </c>
      <c r="N38">
        <v>1013</v>
      </c>
      <c r="O38" t="s">
        <v>234</v>
      </c>
      <c r="P38" t="s">
        <v>234</v>
      </c>
      <c r="Q38">
        <v>1</v>
      </c>
      <c r="W38">
        <v>0</v>
      </c>
      <c r="X38">
        <v>735429535</v>
      </c>
      <c r="Y38">
        <v>18.07</v>
      </c>
      <c r="AA38">
        <v>0</v>
      </c>
      <c r="AB38">
        <v>0</v>
      </c>
      <c r="AC38">
        <v>0</v>
      </c>
      <c r="AD38">
        <v>7.8</v>
      </c>
      <c r="AE38">
        <v>0</v>
      </c>
      <c r="AF38">
        <v>0</v>
      </c>
      <c r="AG38">
        <v>0</v>
      </c>
      <c r="AH38">
        <v>7.8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18.07</v>
      </c>
      <c r="AU38" t="s">
        <v>3</v>
      </c>
      <c r="AV38">
        <v>1</v>
      </c>
      <c r="AW38">
        <v>2</v>
      </c>
      <c r="AX38">
        <v>35027184</v>
      </c>
      <c r="AY38">
        <v>1</v>
      </c>
      <c r="AZ38">
        <v>0</v>
      </c>
      <c r="BA38">
        <v>37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Y38*Source!I81</f>
        <v>7.2280000000000006</v>
      </c>
      <c r="CY38">
        <f>AD38</f>
        <v>7.8</v>
      </c>
      <c r="CZ38">
        <f>AH38</f>
        <v>7.8</v>
      </c>
      <c r="DA38">
        <f>AL38</f>
        <v>1</v>
      </c>
      <c r="DB38">
        <v>0</v>
      </c>
    </row>
    <row r="39" spans="1:106" x14ac:dyDescent="0.2">
      <c r="A39">
        <f>ROW(Source!A81)</f>
        <v>81</v>
      </c>
      <c r="B39">
        <v>35026474</v>
      </c>
      <c r="C39">
        <v>35027062</v>
      </c>
      <c r="D39">
        <v>31703727</v>
      </c>
      <c r="E39">
        <v>1</v>
      </c>
      <c r="F39">
        <v>1</v>
      </c>
      <c r="G39">
        <v>1</v>
      </c>
      <c r="H39">
        <v>1</v>
      </c>
      <c r="I39" t="s">
        <v>237</v>
      </c>
      <c r="J39" t="s">
        <v>3</v>
      </c>
      <c r="K39" t="s">
        <v>238</v>
      </c>
      <c r="L39">
        <v>1191</v>
      </c>
      <c r="N39">
        <v>1013</v>
      </c>
      <c r="O39" t="s">
        <v>234</v>
      </c>
      <c r="P39" t="s">
        <v>234</v>
      </c>
      <c r="Q39">
        <v>1</v>
      </c>
      <c r="W39">
        <v>0</v>
      </c>
      <c r="X39">
        <v>-1417349443</v>
      </c>
      <c r="Y39">
        <v>1.43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1.43</v>
      </c>
      <c r="AU39" t="s">
        <v>3</v>
      </c>
      <c r="AV39">
        <v>2</v>
      </c>
      <c r="AW39">
        <v>2</v>
      </c>
      <c r="AX39">
        <v>35027185</v>
      </c>
      <c r="AY39">
        <v>1</v>
      </c>
      <c r="AZ39">
        <v>0</v>
      </c>
      <c r="BA39">
        <v>38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Y39*Source!I81</f>
        <v>0.57199999999999995</v>
      </c>
      <c r="CY39">
        <f>AD39</f>
        <v>0</v>
      </c>
      <c r="CZ39">
        <f>AH39</f>
        <v>0</v>
      </c>
      <c r="DA39">
        <f>AL39</f>
        <v>1</v>
      </c>
      <c r="DB39">
        <v>0</v>
      </c>
    </row>
    <row r="40" spans="1:106" x14ac:dyDescent="0.2">
      <c r="A40">
        <f>ROW(Source!A81)</f>
        <v>81</v>
      </c>
      <c r="B40">
        <v>35026474</v>
      </c>
      <c r="C40">
        <v>35027062</v>
      </c>
      <c r="D40">
        <v>31518564</v>
      </c>
      <c r="E40">
        <v>1</v>
      </c>
      <c r="F40">
        <v>1</v>
      </c>
      <c r="G40">
        <v>1</v>
      </c>
      <c r="H40">
        <v>2</v>
      </c>
      <c r="I40" t="s">
        <v>257</v>
      </c>
      <c r="J40" t="s">
        <v>258</v>
      </c>
      <c r="K40" t="s">
        <v>259</v>
      </c>
      <c r="L40">
        <v>1368</v>
      </c>
      <c r="N40">
        <v>1011</v>
      </c>
      <c r="O40" t="s">
        <v>242</v>
      </c>
      <c r="P40" t="s">
        <v>242</v>
      </c>
      <c r="Q40">
        <v>1</v>
      </c>
      <c r="W40">
        <v>0</v>
      </c>
      <c r="X40">
        <v>312278592</v>
      </c>
      <c r="Y40">
        <v>1.43</v>
      </c>
      <c r="AA40">
        <v>0</v>
      </c>
      <c r="AB40">
        <v>70.010000000000005</v>
      </c>
      <c r="AC40">
        <v>11.6</v>
      </c>
      <c r="AD40">
        <v>0</v>
      </c>
      <c r="AE40">
        <v>0</v>
      </c>
      <c r="AF40">
        <v>70.010000000000005</v>
      </c>
      <c r="AG40">
        <v>11.6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1.43</v>
      </c>
      <c r="AU40" t="s">
        <v>3</v>
      </c>
      <c r="AV40">
        <v>0</v>
      </c>
      <c r="AW40">
        <v>2</v>
      </c>
      <c r="AX40">
        <v>35027186</v>
      </c>
      <c r="AY40">
        <v>1</v>
      </c>
      <c r="AZ40">
        <v>0</v>
      </c>
      <c r="BA40">
        <v>39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Y40*Source!I81</f>
        <v>0.57199999999999995</v>
      </c>
      <c r="CY40">
        <f>AB40</f>
        <v>70.010000000000005</v>
      </c>
      <c r="CZ40">
        <f>AF40</f>
        <v>70.010000000000005</v>
      </c>
      <c r="DA40">
        <f>AJ40</f>
        <v>1</v>
      </c>
      <c r="DB40">
        <v>0</v>
      </c>
    </row>
    <row r="41" spans="1:106" x14ac:dyDescent="0.2">
      <c r="A41">
        <f>ROW(Source!A82)</f>
        <v>82</v>
      </c>
      <c r="B41">
        <v>35026474</v>
      </c>
      <c r="C41">
        <v>35027223</v>
      </c>
      <c r="D41">
        <v>31709886</v>
      </c>
      <c r="E41">
        <v>1</v>
      </c>
      <c r="F41">
        <v>1</v>
      </c>
      <c r="G41">
        <v>1</v>
      </c>
      <c r="H41">
        <v>1</v>
      </c>
      <c r="I41" t="s">
        <v>263</v>
      </c>
      <c r="J41" t="s">
        <v>3</v>
      </c>
      <c r="K41" t="s">
        <v>264</v>
      </c>
      <c r="L41">
        <v>1191</v>
      </c>
      <c r="N41">
        <v>1013</v>
      </c>
      <c r="O41" t="s">
        <v>234</v>
      </c>
      <c r="P41" t="s">
        <v>234</v>
      </c>
      <c r="Q41">
        <v>1</v>
      </c>
      <c r="W41">
        <v>0</v>
      </c>
      <c r="X41">
        <v>1069510174</v>
      </c>
      <c r="Y41">
        <v>43.05</v>
      </c>
      <c r="AA41">
        <v>0</v>
      </c>
      <c r="AB41">
        <v>0</v>
      </c>
      <c r="AC41">
        <v>0</v>
      </c>
      <c r="AD41">
        <v>9.6199999999999992</v>
      </c>
      <c r="AE41">
        <v>0</v>
      </c>
      <c r="AF41">
        <v>0</v>
      </c>
      <c r="AG41">
        <v>0</v>
      </c>
      <c r="AH41">
        <v>9.6199999999999992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43.05</v>
      </c>
      <c r="AU41" t="s">
        <v>3</v>
      </c>
      <c r="AV41">
        <v>1</v>
      </c>
      <c r="AW41">
        <v>2</v>
      </c>
      <c r="AX41">
        <v>35027234</v>
      </c>
      <c r="AY41">
        <v>1</v>
      </c>
      <c r="AZ41">
        <v>0</v>
      </c>
      <c r="BA41">
        <v>40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Y41*Source!I82</f>
        <v>17.22</v>
      </c>
      <c r="CY41">
        <f>AD41</f>
        <v>9.6199999999999992</v>
      </c>
      <c r="CZ41">
        <f>AH41</f>
        <v>9.6199999999999992</v>
      </c>
      <c r="DA41">
        <f>AL41</f>
        <v>1</v>
      </c>
      <c r="DB41">
        <v>0</v>
      </c>
    </row>
    <row r="42" spans="1:106" x14ac:dyDescent="0.2">
      <c r="A42">
        <f>ROW(Source!A82)</f>
        <v>82</v>
      </c>
      <c r="B42">
        <v>35026474</v>
      </c>
      <c r="C42">
        <v>35027223</v>
      </c>
      <c r="D42">
        <v>31703727</v>
      </c>
      <c r="E42">
        <v>1</v>
      </c>
      <c r="F42">
        <v>1</v>
      </c>
      <c r="G42">
        <v>1</v>
      </c>
      <c r="H42">
        <v>1</v>
      </c>
      <c r="I42" t="s">
        <v>237</v>
      </c>
      <c r="J42" t="s">
        <v>3</v>
      </c>
      <c r="K42" t="s">
        <v>238</v>
      </c>
      <c r="L42">
        <v>1191</v>
      </c>
      <c r="N42">
        <v>1013</v>
      </c>
      <c r="O42" t="s">
        <v>234</v>
      </c>
      <c r="P42" t="s">
        <v>234</v>
      </c>
      <c r="Q42">
        <v>1</v>
      </c>
      <c r="W42">
        <v>0</v>
      </c>
      <c r="X42">
        <v>-1417349443</v>
      </c>
      <c r="Y42">
        <v>3.25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3.25</v>
      </c>
      <c r="AU42" t="s">
        <v>3</v>
      </c>
      <c r="AV42">
        <v>2</v>
      </c>
      <c r="AW42">
        <v>2</v>
      </c>
      <c r="AX42">
        <v>35027235</v>
      </c>
      <c r="AY42">
        <v>1</v>
      </c>
      <c r="AZ42">
        <v>0</v>
      </c>
      <c r="BA42">
        <v>41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Y42*Source!I82</f>
        <v>1.3</v>
      </c>
      <c r="CY42">
        <f>AD42</f>
        <v>0</v>
      </c>
      <c r="CZ42">
        <f>AH42</f>
        <v>0</v>
      </c>
      <c r="DA42">
        <f>AL42</f>
        <v>1</v>
      </c>
      <c r="DB42">
        <v>0</v>
      </c>
    </row>
    <row r="43" spans="1:106" x14ac:dyDescent="0.2">
      <c r="A43">
        <f>ROW(Source!A82)</f>
        <v>82</v>
      </c>
      <c r="B43">
        <v>35026474</v>
      </c>
      <c r="C43">
        <v>35027223</v>
      </c>
      <c r="D43">
        <v>31519244</v>
      </c>
      <c r="E43">
        <v>1</v>
      </c>
      <c r="F43">
        <v>1</v>
      </c>
      <c r="G43">
        <v>1</v>
      </c>
      <c r="H43">
        <v>2</v>
      </c>
      <c r="I43" t="s">
        <v>265</v>
      </c>
      <c r="J43" t="s">
        <v>266</v>
      </c>
      <c r="K43" t="s">
        <v>267</v>
      </c>
      <c r="L43">
        <v>1368</v>
      </c>
      <c r="N43">
        <v>1011</v>
      </c>
      <c r="O43" t="s">
        <v>242</v>
      </c>
      <c r="P43" t="s">
        <v>242</v>
      </c>
      <c r="Q43">
        <v>1</v>
      </c>
      <c r="W43">
        <v>0</v>
      </c>
      <c r="X43">
        <v>-1718674368</v>
      </c>
      <c r="Y43">
        <v>1.83</v>
      </c>
      <c r="AA43">
        <v>0</v>
      </c>
      <c r="AB43">
        <v>111.99</v>
      </c>
      <c r="AC43">
        <v>13.5</v>
      </c>
      <c r="AD43">
        <v>0</v>
      </c>
      <c r="AE43">
        <v>0</v>
      </c>
      <c r="AF43">
        <v>111.99</v>
      </c>
      <c r="AG43">
        <v>13.5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1.83</v>
      </c>
      <c r="AU43" t="s">
        <v>3</v>
      </c>
      <c r="AV43">
        <v>0</v>
      </c>
      <c r="AW43">
        <v>2</v>
      </c>
      <c r="AX43">
        <v>35027236</v>
      </c>
      <c r="AY43">
        <v>1</v>
      </c>
      <c r="AZ43">
        <v>0</v>
      </c>
      <c r="BA43">
        <v>42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Y43*Source!I82</f>
        <v>0.7320000000000001</v>
      </c>
      <c r="CY43">
        <f>AB43</f>
        <v>111.99</v>
      </c>
      <c r="CZ43">
        <f>AF43</f>
        <v>111.99</v>
      </c>
      <c r="DA43">
        <f>AJ43</f>
        <v>1</v>
      </c>
      <c r="DB43">
        <v>0</v>
      </c>
    </row>
    <row r="44" spans="1:106" x14ac:dyDescent="0.2">
      <c r="A44">
        <f>ROW(Source!A82)</f>
        <v>82</v>
      </c>
      <c r="B44">
        <v>35026474</v>
      </c>
      <c r="C44">
        <v>35027223</v>
      </c>
      <c r="D44">
        <v>31520575</v>
      </c>
      <c r="E44">
        <v>1</v>
      </c>
      <c r="F44">
        <v>1</v>
      </c>
      <c r="G44">
        <v>1</v>
      </c>
      <c r="H44">
        <v>2</v>
      </c>
      <c r="I44" t="s">
        <v>268</v>
      </c>
      <c r="J44" t="s">
        <v>269</v>
      </c>
      <c r="K44" t="s">
        <v>270</v>
      </c>
      <c r="L44">
        <v>1368</v>
      </c>
      <c r="N44">
        <v>1011</v>
      </c>
      <c r="O44" t="s">
        <v>242</v>
      </c>
      <c r="P44" t="s">
        <v>242</v>
      </c>
      <c r="Q44">
        <v>1</v>
      </c>
      <c r="W44">
        <v>0</v>
      </c>
      <c r="X44">
        <v>529073949</v>
      </c>
      <c r="Y44">
        <v>1.42</v>
      </c>
      <c r="AA44">
        <v>0</v>
      </c>
      <c r="AB44">
        <v>110</v>
      </c>
      <c r="AC44">
        <v>11.6</v>
      </c>
      <c r="AD44">
        <v>0</v>
      </c>
      <c r="AE44">
        <v>0</v>
      </c>
      <c r="AF44">
        <v>110</v>
      </c>
      <c r="AG44">
        <v>11.6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1.42</v>
      </c>
      <c r="AU44" t="s">
        <v>3</v>
      </c>
      <c r="AV44">
        <v>0</v>
      </c>
      <c r="AW44">
        <v>2</v>
      </c>
      <c r="AX44">
        <v>35027237</v>
      </c>
      <c r="AY44">
        <v>1</v>
      </c>
      <c r="AZ44">
        <v>0</v>
      </c>
      <c r="BA44">
        <v>43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Y44*Source!I82</f>
        <v>0.56799999999999995</v>
      </c>
      <c r="CY44">
        <f>AB44</f>
        <v>110</v>
      </c>
      <c r="CZ44">
        <f>AF44</f>
        <v>110</v>
      </c>
      <c r="DA44">
        <f>AJ44</f>
        <v>1</v>
      </c>
      <c r="DB44">
        <v>0</v>
      </c>
    </row>
    <row r="45" spans="1:106" x14ac:dyDescent="0.2">
      <c r="A45">
        <f>ROW(Source!A82)</f>
        <v>82</v>
      </c>
      <c r="B45">
        <v>35026474</v>
      </c>
      <c r="C45">
        <v>35027223</v>
      </c>
      <c r="D45">
        <v>31438650</v>
      </c>
      <c r="E45">
        <v>1</v>
      </c>
      <c r="F45">
        <v>1</v>
      </c>
      <c r="G45">
        <v>1</v>
      </c>
      <c r="H45">
        <v>3</v>
      </c>
      <c r="I45" t="s">
        <v>271</v>
      </c>
      <c r="J45" t="s">
        <v>272</v>
      </c>
      <c r="K45" t="s">
        <v>273</v>
      </c>
      <c r="L45">
        <v>1339</v>
      </c>
      <c r="N45">
        <v>1007</v>
      </c>
      <c r="O45" t="s">
        <v>128</v>
      </c>
      <c r="P45" t="s">
        <v>128</v>
      </c>
      <c r="Q45">
        <v>1</v>
      </c>
      <c r="W45">
        <v>0</v>
      </c>
      <c r="X45">
        <v>-1660354250</v>
      </c>
      <c r="Y45">
        <v>5.2</v>
      </c>
      <c r="AA45">
        <v>2.44</v>
      </c>
      <c r="AB45">
        <v>0</v>
      </c>
      <c r="AC45">
        <v>0</v>
      </c>
      <c r="AD45">
        <v>0</v>
      </c>
      <c r="AE45">
        <v>2.44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5.2</v>
      </c>
      <c r="AU45" t="s">
        <v>3</v>
      </c>
      <c r="AV45">
        <v>0</v>
      </c>
      <c r="AW45">
        <v>2</v>
      </c>
      <c r="AX45">
        <v>35027238</v>
      </c>
      <c r="AY45">
        <v>1</v>
      </c>
      <c r="AZ45">
        <v>0</v>
      </c>
      <c r="BA45">
        <v>44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Y45*Source!I82</f>
        <v>2.08</v>
      </c>
      <c r="CY45">
        <f t="shared" ref="CY45:CY50" si="3">AA45</f>
        <v>2.44</v>
      </c>
      <c r="CZ45">
        <f t="shared" ref="CZ45:CZ50" si="4">AE45</f>
        <v>2.44</v>
      </c>
      <c r="DA45">
        <f t="shared" ref="DA45:DA50" si="5">AI45</f>
        <v>1</v>
      </c>
      <c r="DB45">
        <v>0</v>
      </c>
    </row>
    <row r="46" spans="1:106" x14ac:dyDescent="0.2">
      <c r="A46">
        <f>ROW(Source!A82)</f>
        <v>82</v>
      </c>
      <c r="B46">
        <v>35026474</v>
      </c>
      <c r="C46">
        <v>35027223</v>
      </c>
      <c r="D46">
        <v>31442373</v>
      </c>
      <c r="E46">
        <v>1</v>
      </c>
      <c r="F46">
        <v>1</v>
      </c>
      <c r="G46">
        <v>1</v>
      </c>
      <c r="H46">
        <v>3</v>
      </c>
      <c r="I46" t="s">
        <v>274</v>
      </c>
      <c r="J46" t="s">
        <v>275</v>
      </c>
      <c r="K46" t="s">
        <v>276</v>
      </c>
      <c r="L46">
        <v>1348</v>
      </c>
      <c r="N46">
        <v>1009</v>
      </c>
      <c r="O46" t="s">
        <v>50</v>
      </c>
      <c r="P46" t="s">
        <v>50</v>
      </c>
      <c r="Q46">
        <v>1000</v>
      </c>
      <c r="W46">
        <v>0</v>
      </c>
      <c r="X46">
        <v>1598981629</v>
      </c>
      <c r="Y46">
        <v>2.9999999999999997E-4</v>
      </c>
      <c r="AA46">
        <v>37600.01</v>
      </c>
      <c r="AB46">
        <v>0</v>
      </c>
      <c r="AC46">
        <v>0</v>
      </c>
      <c r="AD46">
        <v>0</v>
      </c>
      <c r="AE46">
        <v>37600.01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2.9999999999999997E-4</v>
      </c>
      <c r="AU46" t="s">
        <v>3</v>
      </c>
      <c r="AV46">
        <v>0</v>
      </c>
      <c r="AW46">
        <v>2</v>
      </c>
      <c r="AX46">
        <v>35027239</v>
      </c>
      <c r="AY46">
        <v>1</v>
      </c>
      <c r="AZ46">
        <v>0</v>
      </c>
      <c r="BA46">
        <v>45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Y46*Source!I82</f>
        <v>1.1999999999999999E-4</v>
      </c>
      <c r="CY46">
        <f t="shared" si="3"/>
        <v>37600.01</v>
      </c>
      <c r="CZ46">
        <f t="shared" si="4"/>
        <v>37600.01</v>
      </c>
      <c r="DA46">
        <f t="shared" si="5"/>
        <v>1</v>
      </c>
      <c r="DB46">
        <v>0</v>
      </c>
    </row>
    <row r="47" spans="1:106" x14ac:dyDescent="0.2">
      <c r="A47">
        <f>ROW(Source!A82)</f>
        <v>82</v>
      </c>
      <c r="B47">
        <v>35026474</v>
      </c>
      <c r="C47">
        <v>35027223</v>
      </c>
      <c r="D47">
        <v>31442399</v>
      </c>
      <c r="E47">
        <v>1</v>
      </c>
      <c r="F47">
        <v>1</v>
      </c>
      <c r="G47">
        <v>1</v>
      </c>
      <c r="H47">
        <v>3</v>
      </c>
      <c r="I47" t="s">
        <v>277</v>
      </c>
      <c r="J47" t="s">
        <v>278</v>
      </c>
      <c r="K47" t="s">
        <v>279</v>
      </c>
      <c r="L47">
        <v>1330</v>
      </c>
      <c r="N47">
        <v>1005</v>
      </c>
      <c r="O47" t="s">
        <v>280</v>
      </c>
      <c r="P47" t="s">
        <v>280</v>
      </c>
      <c r="Q47">
        <v>10</v>
      </c>
      <c r="W47">
        <v>0</v>
      </c>
      <c r="X47">
        <v>-1865916384</v>
      </c>
      <c r="Y47">
        <v>0.15</v>
      </c>
      <c r="AA47">
        <v>84.75</v>
      </c>
      <c r="AB47">
        <v>0</v>
      </c>
      <c r="AC47">
        <v>0</v>
      </c>
      <c r="AD47">
        <v>0</v>
      </c>
      <c r="AE47">
        <v>84.75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0.15</v>
      </c>
      <c r="AU47" t="s">
        <v>3</v>
      </c>
      <c r="AV47">
        <v>0</v>
      </c>
      <c r="AW47">
        <v>2</v>
      </c>
      <c r="AX47">
        <v>35027240</v>
      </c>
      <c r="AY47">
        <v>1</v>
      </c>
      <c r="AZ47">
        <v>0</v>
      </c>
      <c r="BA47">
        <v>46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Y47*Source!I82</f>
        <v>0.06</v>
      </c>
      <c r="CY47">
        <f t="shared" si="3"/>
        <v>84.75</v>
      </c>
      <c r="CZ47">
        <f t="shared" si="4"/>
        <v>84.75</v>
      </c>
      <c r="DA47">
        <f t="shared" si="5"/>
        <v>1</v>
      </c>
      <c r="DB47">
        <v>0</v>
      </c>
    </row>
    <row r="48" spans="1:106" x14ac:dyDescent="0.2">
      <c r="A48">
        <f>ROW(Source!A82)</f>
        <v>82</v>
      </c>
      <c r="B48">
        <v>35026474</v>
      </c>
      <c r="C48">
        <v>35027223</v>
      </c>
      <c r="D48">
        <v>31467699</v>
      </c>
      <c r="E48">
        <v>1</v>
      </c>
      <c r="F48">
        <v>1</v>
      </c>
      <c r="G48">
        <v>1</v>
      </c>
      <c r="H48">
        <v>3</v>
      </c>
      <c r="I48" t="s">
        <v>281</v>
      </c>
      <c r="J48" t="s">
        <v>282</v>
      </c>
      <c r="K48" t="s">
        <v>283</v>
      </c>
      <c r="L48">
        <v>1354</v>
      </c>
      <c r="N48">
        <v>1010</v>
      </c>
      <c r="O48" t="s">
        <v>284</v>
      </c>
      <c r="P48" t="s">
        <v>284</v>
      </c>
      <c r="Q48">
        <v>1</v>
      </c>
      <c r="W48">
        <v>0</v>
      </c>
      <c r="X48">
        <v>-346636841</v>
      </c>
      <c r="Y48">
        <v>20</v>
      </c>
      <c r="AA48">
        <v>18.96</v>
      </c>
      <c r="AB48">
        <v>0</v>
      </c>
      <c r="AC48">
        <v>0</v>
      </c>
      <c r="AD48">
        <v>0</v>
      </c>
      <c r="AE48">
        <v>18.96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20</v>
      </c>
      <c r="AU48" t="s">
        <v>3</v>
      </c>
      <c r="AV48">
        <v>0</v>
      </c>
      <c r="AW48">
        <v>2</v>
      </c>
      <c r="AX48">
        <v>35027241</v>
      </c>
      <c r="AY48">
        <v>1</v>
      </c>
      <c r="AZ48">
        <v>0</v>
      </c>
      <c r="BA48">
        <v>47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Y48*Source!I82</f>
        <v>8</v>
      </c>
      <c r="CY48">
        <f t="shared" si="3"/>
        <v>18.96</v>
      </c>
      <c r="CZ48">
        <f t="shared" si="4"/>
        <v>18.96</v>
      </c>
      <c r="DA48">
        <f t="shared" si="5"/>
        <v>1</v>
      </c>
      <c r="DB48">
        <v>0</v>
      </c>
    </row>
    <row r="49" spans="1:106" x14ac:dyDescent="0.2">
      <c r="A49">
        <f>ROW(Source!A82)</f>
        <v>82</v>
      </c>
      <c r="B49">
        <v>35026474</v>
      </c>
      <c r="C49">
        <v>35027223</v>
      </c>
      <c r="D49">
        <v>0</v>
      </c>
      <c r="E49">
        <v>1</v>
      </c>
      <c r="F49">
        <v>1</v>
      </c>
      <c r="G49">
        <v>1</v>
      </c>
      <c r="H49">
        <v>3</v>
      </c>
      <c r="I49" t="s">
        <v>135</v>
      </c>
      <c r="J49" t="s">
        <v>3</v>
      </c>
      <c r="K49" t="s">
        <v>136</v>
      </c>
      <c r="L49">
        <v>1371</v>
      </c>
      <c r="N49">
        <v>1013</v>
      </c>
      <c r="O49" t="s">
        <v>137</v>
      </c>
      <c r="P49" t="s">
        <v>137</v>
      </c>
      <c r="Q49">
        <v>1</v>
      </c>
      <c r="W49">
        <v>0</v>
      </c>
      <c r="X49">
        <v>1806329505</v>
      </c>
      <c r="Y49">
        <v>5</v>
      </c>
      <c r="AA49">
        <v>81076.27</v>
      </c>
      <c r="AB49">
        <v>0</v>
      </c>
      <c r="AC49">
        <v>0</v>
      </c>
      <c r="AD49">
        <v>0</v>
      </c>
      <c r="AE49">
        <v>11765.02</v>
      </c>
      <c r="AF49">
        <v>0</v>
      </c>
      <c r="AG49">
        <v>0</v>
      </c>
      <c r="AH49">
        <v>0</v>
      </c>
      <c r="AI49">
        <v>7.24</v>
      </c>
      <c r="AJ49">
        <v>1</v>
      </c>
      <c r="AK49">
        <v>1</v>
      </c>
      <c r="AL49">
        <v>1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3</v>
      </c>
      <c r="AT49">
        <v>5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Y49*Source!I82</f>
        <v>2</v>
      </c>
      <c r="CY49">
        <f t="shared" si="3"/>
        <v>81076.27</v>
      </c>
      <c r="CZ49">
        <f t="shared" si="4"/>
        <v>11765.02</v>
      </c>
      <c r="DA49">
        <f t="shared" si="5"/>
        <v>7.24</v>
      </c>
      <c r="DB49">
        <v>0</v>
      </c>
    </row>
    <row r="50" spans="1:106" x14ac:dyDescent="0.2">
      <c r="A50">
        <f>ROW(Source!A82)</f>
        <v>82</v>
      </c>
      <c r="B50">
        <v>35026474</v>
      </c>
      <c r="C50">
        <v>35027223</v>
      </c>
      <c r="D50">
        <v>0</v>
      </c>
      <c r="E50">
        <v>1</v>
      </c>
      <c r="F50">
        <v>1</v>
      </c>
      <c r="G50">
        <v>1</v>
      </c>
      <c r="H50">
        <v>3</v>
      </c>
      <c r="I50" t="s">
        <v>140</v>
      </c>
      <c r="J50" t="s">
        <v>3</v>
      </c>
      <c r="K50" t="s">
        <v>141</v>
      </c>
      <c r="L50">
        <v>1371</v>
      </c>
      <c r="N50">
        <v>1013</v>
      </c>
      <c r="O50" t="s">
        <v>137</v>
      </c>
      <c r="P50" t="s">
        <v>137</v>
      </c>
      <c r="Q50">
        <v>1</v>
      </c>
      <c r="W50">
        <v>0</v>
      </c>
      <c r="X50">
        <v>-1305323175</v>
      </c>
      <c r="Y50">
        <v>5</v>
      </c>
      <c r="AA50">
        <v>91525.42</v>
      </c>
      <c r="AB50">
        <v>0</v>
      </c>
      <c r="AC50">
        <v>0</v>
      </c>
      <c r="AD50">
        <v>0</v>
      </c>
      <c r="AE50">
        <v>13281.3</v>
      </c>
      <c r="AF50">
        <v>0</v>
      </c>
      <c r="AG50">
        <v>0</v>
      </c>
      <c r="AH50">
        <v>0</v>
      </c>
      <c r="AI50">
        <v>7.24</v>
      </c>
      <c r="AJ50">
        <v>1</v>
      </c>
      <c r="AK50">
        <v>1</v>
      </c>
      <c r="AL50">
        <v>1</v>
      </c>
      <c r="AN50">
        <v>0</v>
      </c>
      <c r="AO50">
        <v>0</v>
      </c>
      <c r="AP50">
        <v>0</v>
      </c>
      <c r="AQ50">
        <v>0</v>
      </c>
      <c r="AR50">
        <v>0</v>
      </c>
      <c r="AS50" t="s">
        <v>3</v>
      </c>
      <c r="AT50">
        <v>5</v>
      </c>
      <c r="AU50" t="s">
        <v>3</v>
      </c>
      <c r="AV50">
        <v>0</v>
      </c>
      <c r="AW50">
        <v>1</v>
      </c>
      <c r="AX50">
        <v>-1</v>
      </c>
      <c r="AY50">
        <v>0</v>
      </c>
      <c r="AZ50">
        <v>0</v>
      </c>
      <c r="BA50" t="s">
        <v>3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Y50*Source!I82</f>
        <v>2</v>
      </c>
      <c r="CY50">
        <f t="shared" si="3"/>
        <v>91525.42</v>
      </c>
      <c r="CZ50">
        <f t="shared" si="4"/>
        <v>13281.3</v>
      </c>
      <c r="DA50">
        <f t="shared" si="5"/>
        <v>7.24</v>
      </c>
      <c r="DB5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35026648</v>
      </c>
      <c r="C1">
        <v>35026646</v>
      </c>
      <c r="D1">
        <v>31705341</v>
      </c>
      <c r="E1">
        <v>1</v>
      </c>
      <c r="F1">
        <v>1</v>
      </c>
      <c r="G1">
        <v>1</v>
      </c>
      <c r="H1">
        <v>1</v>
      </c>
      <c r="I1" t="s">
        <v>232</v>
      </c>
      <c r="J1" t="s">
        <v>3</v>
      </c>
      <c r="K1" t="s">
        <v>233</v>
      </c>
      <c r="L1">
        <v>1191</v>
      </c>
      <c r="N1">
        <v>1013</v>
      </c>
      <c r="O1" t="s">
        <v>234</v>
      </c>
      <c r="P1" t="s">
        <v>234</v>
      </c>
      <c r="Q1">
        <v>1</v>
      </c>
      <c r="X1">
        <v>76.7</v>
      </c>
      <c r="Y1">
        <v>0</v>
      </c>
      <c r="Z1">
        <v>0</v>
      </c>
      <c r="AA1">
        <v>0</v>
      </c>
      <c r="AB1">
        <v>8.02</v>
      </c>
      <c r="AC1">
        <v>0</v>
      </c>
      <c r="AD1">
        <v>1</v>
      </c>
      <c r="AE1">
        <v>1</v>
      </c>
      <c r="AF1" t="s">
        <v>3</v>
      </c>
      <c r="AG1">
        <v>76.7</v>
      </c>
      <c r="AH1">
        <v>2</v>
      </c>
      <c r="AI1">
        <v>35026647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35026655</v>
      </c>
      <c r="C2">
        <v>35026649</v>
      </c>
      <c r="D2">
        <v>31705687</v>
      </c>
      <c r="E2">
        <v>1</v>
      </c>
      <c r="F2">
        <v>1</v>
      </c>
      <c r="G2">
        <v>1</v>
      </c>
      <c r="H2">
        <v>1</v>
      </c>
      <c r="I2" t="s">
        <v>235</v>
      </c>
      <c r="J2" t="s">
        <v>3</v>
      </c>
      <c r="K2" t="s">
        <v>236</v>
      </c>
      <c r="L2">
        <v>1191</v>
      </c>
      <c r="N2">
        <v>1013</v>
      </c>
      <c r="O2" t="s">
        <v>234</v>
      </c>
      <c r="P2" t="s">
        <v>234</v>
      </c>
      <c r="Q2">
        <v>1</v>
      </c>
      <c r="X2">
        <v>179.8</v>
      </c>
      <c r="Y2">
        <v>0</v>
      </c>
      <c r="Z2">
        <v>0</v>
      </c>
      <c r="AA2">
        <v>0</v>
      </c>
      <c r="AB2">
        <v>8.31</v>
      </c>
      <c r="AC2">
        <v>0</v>
      </c>
      <c r="AD2">
        <v>1</v>
      </c>
      <c r="AE2">
        <v>1</v>
      </c>
      <c r="AF2" t="s">
        <v>3</v>
      </c>
      <c r="AG2">
        <v>179.8</v>
      </c>
      <c r="AH2">
        <v>2</v>
      </c>
      <c r="AI2">
        <v>35026650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35026656</v>
      </c>
      <c r="C3">
        <v>35026649</v>
      </c>
      <c r="D3">
        <v>31703727</v>
      </c>
      <c r="E3">
        <v>1</v>
      </c>
      <c r="F3">
        <v>1</v>
      </c>
      <c r="G3">
        <v>1</v>
      </c>
      <c r="H3">
        <v>1</v>
      </c>
      <c r="I3" t="s">
        <v>237</v>
      </c>
      <c r="J3" t="s">
        <v>3</v>
      </c>
      <c r="K3" t="s">
        <v>238</v>
      </c>
      <c r="L3">
        <v>1191</v>
      </c>
      <c r="N3">
        <v>1013</v>
      </c>
      <c r="O3" t="s">
        <v>234</v>
      </c>
      <c r="P3" t="s">
        <v>234</v>
      </c>
      <c r="Q3">
        <v>1</v>
      </c>
      <c r="X3">
        <v>45.63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2</v>
      </c>
      <c r="AF3" t="s">
        <v>3</v>
      </c>
      <c r="AG3">
        <v>45.63</v>
      </c>
      <c r="AH3">
        <v>2</v>
      </c>
      <c r="AI3">
        <v>35026651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35026657</v>
      </c>
      <c r="C4">
        <v>35026649</v>
      </c>
      <c r="D4">
        <v>31518461</v>
      </c>
      <c r="E4">
        <v>1</v>
      </c>
      <c r="F4">
        <v>1</v>
      </c>
      <c r="G4">
        <v>1</v>
      </c>
      <c r="H4">
        <v>2</v>
      </c>
      <c r="I4" t="s">
        <v>239</v>
      </c>
      <c r="J4" t="s">
        <v>240</v>
      </c>
      <c r="K4" t="s">
        <v>241</v>
      </c>
      <c r="L4">
        <v>1368</v>
      </c>
      <c r="N4">
        <v>1011</v>
      </c>
      <c r="O4" t="s">
        <v>242</v>
      </c>
      <c r="P4" t="s">
        <v>242</v>
      </c>
      <c r="Q4">
        <v>1</v>
      </c>
      <c r="X4">
        <v>1.55</v>
      </c>
      <c r="Y4">
        <v>0</v>
      </c>
      <c r="Z4">
        <v>123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1.55</v>
      </c>
      <c r="AH4">
        <v>2</v>
      </c>
      <c r="AI4">
        <v>35026652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35026658</v>
      </c>
      <c r="C5">
        <v>35026649</v>
      </c>
      <c r="D5">
        <v>31521008</v>
      </c>
      <c r="E5">
        <v>1</v>
      </c>
      <c r="F5">
        <v>1</v>
      </c>
      <c r="G5">
        <v>1</v>
      </c>
      <c r="H5">
        <v>2</v>
      </c>
      <c r="I5" t="s">
        <v>243</v>
      </c>
      <c r="J5" t="s">
        <v>244</v>
      </c>
      <c r="K5" t="s">
        <v>245</v>
      </c>
      <c r="L5">
        <v>1368</v>
      </c>
      <c r="N5">
        <v>1011</v>
      </c>
      <c r="O5" t="s">
        <v>242</v>
      </c>
      <c r="P5" t="s">
        <v>242</v>
      </c>
      <c r="Q5">
        <v>1</v>
      </c>
      <c r="X5">
        <v>44.08</v>
      </c>
      <c r="Y5">
        <v>0</v>
      </c>
      <c r="Z5">
        <v>90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44.08</v>
      </c>
      <c r="AH5">
        <v>2</v>
      </c>
      <c r="AI5">
        <v>35026653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35026659</v>
      </c>
      <c r="C6">
        <v>35026649</v>
      </c>
      <c r="D6">
        <v>31521611</v>
      </c>
      <c r="E6">
        <v>1</v>
      </c>
      <c r="F6">
        <v>1</v>
      </c>
      <c r="G6">
        <v>1</v>
      </c>
      <c r="H6">
        <v>2</v>
      </c>
      <c r="I6" t="s">
        <v>246</v>
      </c>
      <c r="J6" t="s">
        <v>247</v>
      </c>
      <c r="K6" t="s">
        <v>248</v>
      </c>
      <c r="L6">
        <v>1368</v>
      </c>
      <c r="N6">
        <v>1011</v>
      </c>
      <c r="O6" t="s">
        <v>242</v>
      </c>
      <c r="P6" t="s">
        <v>242</v>
      </c>
      <c r="Q6">
        <v>1</v>
      </c>
      <c r="X6">
        <v>88.16</v>
      </c>
      <c r="Y6">
        <v>0</v>
      </c>
      <c r="Z6">
        <v>1.53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88.16</v>
      </c>
      <c r="AH6">
        <v>2</v>
      </c>
      <c r="AI6">
        <v>35026654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35026665</v>
      </c>
      <c r="C7">
        <v>35026660</v>
      </c>
      <c r="D7">
        <v>31703848</v>
      </c>
      <c r="E7">
        <v>1</v>
      </c>
      <c r="F7">
        <v>1</v>
      </c>
      <c r="G7">
        <v>1</v>
      </c>
      <c r="H7">
        <v>1</v>
      </c>
      <c r="I7" t="s">
        <v>249</v>
      </c>
      <c r="J7" t="s">
        <v>3</v>
      </c>
      <c r="K7" t="s">
        <v>250</v>
      </c>
      <c r="L7">
        <v>1191</v>
      </c>
      <c r="N7">
        <v>1013</v>
      </c>
      <c r="O7" t="s">
        <v>234</v>
      </c>
      <c r="P7" t="s">
        <v>234</v>
      </c>
      <c r="Q7">
        <v>1</v>
      </c>
      <c r="X7">
        <v>57.42</v>
      </c>
      <c r="Y7">
        <v>0</v>
      </c>
      <c r="Z7">
        <v>0</v>
      </c>
      <c r="AA7">
        <v>0</v>
      </c>
      <c r="AB7">
        <v>7.8</v>
      </c>
      <c r="AC7">
        <v>0</v>
      </c>
      <c r="AD7">
        <v>1</v>
      </c>
      <c r="AE7">
        <v>1</v>
      </c>
      <c r="AF7" t="s">
        <v>3</v>
      </c>
      <c r="AG7">
        <v>57.42</v>
      </c>
      <c r="AH7">
        <v>2</v>
      </c>
      <c r="AI7">
        <v>35026661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35026666</v>
      </c>
      <c r="C8">
        <v>35026660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237</v>
      </c>
      <c r="J8" t="s">
        <v>3</v>
      </c>
      <c r="K8" t="s">
        <v>238</v>
      </c>
      <c r="L8">
        <v>1191</v>
      </c>
      <c r="N8">
        <v>1013</v>
      </c>
      <c r="O8" t="s">
        <v>234</v>
      </c>
      <c r="P8" t="s">
        <v>234</v>
      </c>
      <c r="Q8">
        <v>1</v>
      </c>
      <c r="X8">
        <v>12.43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3</v>
      </c>
      <c r="AG8">
        <v>12.43</v>
      </c>
      <c r="AH8">
        <v>2</v>
      </c>
      <c r="AI8">
        <v>35026662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35026667</v>
      </c>
      <c r="C9">
        <v>35026660</v>
      </c>
      <c r="D9">
        <v>31518437</v>
      </c>
      <c r="E9">
        <v>1</v>
      </c>
      <c r="F9">
        <v>1</v>
      </c>
      <c r="G9">
        <v>1</v>
      </c>
      <c r="H9">
        <v>2</v>
      </c>
      <c r="I9" t="s">
        <v>251</v>
      </c>
      <c r="J9" t="s">
        <v>252</v>
      </c>
      <c r="K9" t="s">
        <v>253</v>
      </c>
      <c r="L9">
        <v>1368</v>
      </c>
      <c r="N9">
        <v>1011</v>
      </c>
      <c r="O9" t="s">
        <v>242</v>
      </c>
      <c r="P9" t="s">
        <v>242</v>
      </c>
      <c r="Q9">
        <v>1</v>
      </c>
      <c r="X9">
        <v>3.16</v>
      </c>
      <c r="Y9">
        <v>0</v>
      </c>
      <c r="Z9">
        <v>79.069999999999993</v>
      </c>
      <c r="AA9">
        <v>13.5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3.16</v>
      </c>
      <c r="AH9">
        <v>2</v>
      </c>
      <c r="AI9">
        <v>35026663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35026668</v>
      </c>
      <c r="C10">
        <v>35026660</v>
      </c>
      <c r="D10">
        <v>31518552</v>
      </c>
      <c r="E10">
        <v>1</v>
      </c>
      <c r="F10">
        <v>1</v>
      </c>
      <c r="G10">
        <v>1</v>
      </c>
      <c r="H10">
        <v>2</v>
      </c>
      <c r="I10" t="s">
        <v>254</v>
      </c>
      <c r="J10" t="s">
        <v>255</v>
      </c>
      <c r="K10" t="s">
        <v>256</v>
      </c>
      <c r="L10">
        <v>1368</v>
      </c>
      <c r="N10">
        <v>1011</v>
      </c>
      <c r="O10" t="s">
        <v>242</v>
      </c>
      <c r="P10" t="s">
        <v>242</v>
      </c>
      <c r="Q10">
        <v>1</v>
      </c>
      <c r="X10">
        <v>9.27</v>
      </c>
      <c r="Y10">
        <v>0</v>
      </c>
      <c r="Z10">
        <v>115.27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9.27</v>
      </c>
      <c r="AH10">
        <v>2</v>
      </c>
      <c r="AI10">
        <v>35026664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ROW(Source!A69)</f>
        <v>69</v>
      </c>
      <c r="B11">
        <v>35027108</v>
      </c>
      <c r="C11">
        <v>35027055</v>
      </c>
      <c r="D11">
        <v>31703848</v>
      </c>
      <c r="E11">
        <v>1</v>
      </c>
      <c r="F11">
        <v>1</v>
      </c>
      <c r="G11">
        <v>1</v>
      </c>
      <c r="H11">
        <v>1</v>
      </c>
      <c r="I11" t="s">
        <v>249</v>
      </c>
      <c r="J11" t="s">
        <v>3</v>
      </c>
      <c r="K11" t="s">
        <v>250</v>
      </c>
      <c r="L11">
        <v>1191</v>
      </c>
      <c r="N11">
        <v>1013</v>
      </c>
      <c r="O11" t="s">
        <v>234</v>
      </c>
      <c r="P11" t="s">
        <v>234</v>
      </c>
      <c r="Q11">
        <v>1</v>
      </c>
      <c r="X11">
        <v>67.5</v>
      </c>
      <c r="Y11">
        <v>0</v>
      </c>
      <c r="Z11">
        <v>0</v>
      </c>
      <c r="AA11">
        <v>0</v>
      </c>
      <c r="AB11">
        <v>7.8</v>
      </c>
      <c r="AC11">
        <v>0</v>
      </c>
      <c r="AD11">
        <v>1</v>
      </c>
      <c r="AE11">
        <v>1</v>
      </c>
      <c r="AF11" t="s">
        <v>3</v>
      </c>
      <c r="AG11">
        <v>67.5</v>
      </c>
      <c r="AH11">
        <v>2</v>
      </c>
      <c r="AI11">
        <v>35027108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ROW(Source!A69)</f>
        <v>69</v>
      </c>
      <c r="B12">
        <v>35027109</v>
      </c>
      <c r="C12">
        <v>35027055</v>
      </c>
      <c r="D12">
        <v>31703727</v>
      </c>
      <c r="E12">
        <v>1</v>
      </c>
      <c r="F12">
        <v>1</v>
      </c>
      <c r="G12">
        <v>1</v>
      </c>
      <c r="H12">
        <v>1</v>
      </c>
      <c r="I12" t="s">
        <v>237</v>
      </c>
      <c r="J12" t="s">
        <v>3</v>
      </c>
      <c r="K12" t="s">
        <v>238</v>
      </c>
      <c r="L12">
        <v>1191</v>
      </c>
      <c r="N12">
        <v>1013</v>
      </c>
      <c r="O12" t="s">
        <v>234</v>
      </c>
      <c r="P12" t="s">
        <v>234</v>
      </c>
      <c r="Q12">
        <v>1</v>
      </c>
      <c r="X12">
        <v>1.43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3</v>
      </c>
      <c r="AG12">
        <v>1.43</v>
      </c>
      <c r="AH12">
        <v>2</v>
      </c>
      <c r="AI12">
        <v>35027109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ROW(Source!A69)</f>
        <v>69</v>
      </c>
      <c r="B13">
        <v>35027110</v>
      </c>
      <c r="C13">
        <v>35027055</v>
      </c>
      <c r="D13">
        <v>31518564</v>
      </c>
      <c r="E13">
        <v>1</v>
      </c>
      <c r="F13">
        <v>1</v>
      </c>
      <c r="G13">
        <v>1</v>
      </c>
      <c r="H13">
        <v>2</v>
      </c>
      <c r="I13" t="s">
        <v>257</v>
      </c>
      <c r="J13" t="s">
        <v>258</v>
      </c>
      <c r="K13" t="s">
        <v>259</v>
      </c>
      <c r="L13">
        <v>1368</v>
      </c>
      <c r="N13">
        <v>1011</v>
      </c>
      <c r="O13" t="s">
        <v>242</v>
      </c>
      <c r="P13" t="s">
        <v>242</v>
      </c>
      <c r="Q13">
        <v>1</v>
      </c>
      <c r="X13">
        <v>1.43</v>
      </c>
      <c r="Y13">
        <v>0</v>
      </c>
      <c r="Z13">
        <v>70.010000000000005</v>
      </c>
      <c r="AA13">
        <v>11.6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1.43</v>
      </c>
      <c r="AH13">
        <v>2</v>
      </c>
      <c r="AI13">
        <v>35027110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ROW(Source!A69)</f>
        <v>69</v>
      </c>
      <c r="B14">
        <v>35027111</v>
      </c>
      <c r="C14">
        <v>35027055</v>
      </c>
      <c r="D14">
        <v>31477053</v>
      </c>
      <c r="E14">
        <v>1</v>
      </c>
      <c r="F14">
        <v>1</v>
      </c>
      <c r="G14">
        <v>1</v>
      </c>
      <c r="H14">
        <v>3</v>
      </c>
      <c r="I14" t="s">
        <v>260</v>
      </c>
      <c r="J14" t="s">
        <v>261</v>
      </c>
      <c r="K14" t="s">
        <v>262</v>
      </c>
      <c r="L14">
        <v>1339</v>
      </c>
      <c r="N14">
        <v>1007</v>
      </c>
      <c r="O14" t="s">
        <v>128</v>
      </c>
      <c r="P14" t="s">
        <v>128</v>
      </c>
      <c r="Q14">
        <v>1</v>
      </c>
      <c r="X14">
        <v>23.4</v>
      </c>
      <c r="Y14">
        <v>131.9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23.4</v>
      </c>
      <c r="AH14">
        <v>2</v>
      </c>
      <c r="AI14">
        <v>35027111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ROW(Source!A69)</f>
        <v>69</v>
      </c>
      <c r="B15">
        <v>35027112</v>
      </c>
      <c r="C15">
        <v>35027055</v>
      </c>
      <c r="D15">
        <v>31435880</v>
      </c>
      <c r="E15">
        <v>17</v>
      </c>
      <c r="F15">
        <v>1</v>
      </c>
      <c r="G15">
        <v>1</v>
      </c>
      <c r="H15">
        <v>3</v>
      </c>
      <c r="I15" t="s">
        <v>292</v>
      </c>
      <c r="J15" t="s">
        <v>3</v>
      </c>
      <c r="K15" t="s">
        <v>293</v>
      </c>
      <c r="L15">
        <v>1339</v>
      </c>
      <c r="N15">
        <v>1007</v>
      </c>
      <c r="O15" t="s">
        <v>128</v>
      </c>
      <c r="P15" t="s">
        <v>128</v>
      </c>
      <c r="Q15">
        <v>1</v>
      </c>
      <c r="X15">
        <v>1.28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3</v>
      </c>
      <c r="AG15">
        <v>1.28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ROW(Source!A74)</f>
        <v>74</v>
      </c>
      <c r="B16">
        <v>35027136</v>
      </c>
      <c r="C16">
        <v>35026692</v>
      </c>
      <c r="D16">
        <v>31709886</v>
      </c>
      <c r="E16">
        <v>1</v>
      </c>
      <c r="F16">
        <v>1</v>
      </c>
      <c r="G16">
        <v>1</v>
      </c>
      <c r="H16">
        <v>1</v>
      </c>
      <c r="I16" t="s">
        <v>263</v>
      </c>
      <c r="J16" t="s">
        <v>3</v>
      </c>
      <c r="K16" t="s">
        <v>264</v>
      </c>
      <c r="L16">
        <v>1191</v>
      </c>
      <c r="N16">
        <v>1013</v>
      </c>
      <c r="O16" t="s">
        <v>234</v>
      </c>
      <c r="P16" t="s">
        <v>234</v>
      </c>
      <c r="Q16">
        <v>1</v>
      </c>
      <c r="X16">
        <v>43.05</v>
      </c>
      <c r="Y16">
        <v>0</v>
      </c>
      <c r="Z16">
        <v>0</v>
      </c>
      <c r="AA16">
        <v>0</v>
      </c>
      <c r="AB16">
        <v>9.6199999999999992</v>
      </c>
      <c r="AC16">
        <v>0</v>
      </c>
      <c r="AD16">
        <v>1</v>
      </c>
      <c r="AE16">
        <v>1</v>
      </c>
      <c r="AF16" t="s">
        <v>3</v>
      </c>
      <c r="AG16">
        <v>43.05</v>
      </c>
      <c r="AH16">
        <v>2</v>
      </c>
      <c r="AI16">
        <v>35027136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ROW(Source!A74)</f>
        <v>74</v>
      </c>
      <c r="B17">
        <v>35027137</v>
      </c>
      <c r="C17">
        <v>35026692</v>
      </c>
      <c r="D17">
        <v>31703727</v>
      </c>
      <c r="E17">
        <v>1</v>
      </c>
      <c r="F17">
        <v>1</v>
      </c>
      <c r="G17">
        <v>1</v>
      </c>
      <c r="H17">
        <v>1</v>
      </c>
      <c r="I17" t="s">
        <v>237</v>
      </c>
      <c r="J17" t="s">
        <v>3</v>
      </c>
      <c r="K17" t="s">
        <v>238</v>
      </c>
      <c r="L17">
        <v>1191</v>
      </c>
      <c r="N17">
        <v>1013</v>
      </c>
      <c r="O17" t="s">
        <v>234</v>
      </c>
      <c r="P17" t="s">
        <v>234</v>
      </c>
      <c r="Q17">
        <v>1</v>
      </c>
      <c r="X17">
        <v>3.25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</v>
      </c>
      <c r="AG17">
        <v>3.25</v>
      </c>
      <c r="AH17">
        <v>2</v>
      </c>
      <c r="AI17">
        <v>35027137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ROW(Source!A74)</f>
        <v>74</v>
      </c>
      <c r="B18">
        <v>35027138</v>
      </c>
      <c r="C18">
        <v>35026692</v>
      </c>
      <c r="D18">
        <v>31519244</v>
      </c>
      <c r="E18">
        <v>1</v>
      </c>
      <c r="F18">
        <v>1</v>
      </c>
      <c r="G18">
        <v>1</v>
      </c>
      <c r="H18">
        <v>2</v>
      </c>
      <c r="I18" t="s">
        <v>265</v>
      </c>
      <c r="J18" t="s">
        <v>266</v>
      </c>
      <c r="K18" t="s">
        <v>267</v>
      </c>
      <c r="L18">
        <v>1368</v>
      </c>
      <c r="N18">
        <v>1011</v>
      </c>
      <c r="O18" t="s">
        <v>242</v>
      </c>
      <c r="P18" t="s">
        <v>242</v>
      </c>
      <c r="Q18">
        <v>1</v>
      </c>
      <c r="X18">
        <v>1.83</v>
      </c>
      <c r="Y18">
        <v>0</v>
      </c>
      <c r="Z18">
        <v>111.99</v>
      </c>
      <c r="AA18">
        <v>13.5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1.83</v>
      </c>
      <c r="AH18">
        <v>2</v>
      </c>
      <c r="AI18">
        <v>35027138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ROW(Source!A74)</f>
        <v>74</v>
      </c>
      <c r="B19">
        <v>35027139</v>
      </c>
      <c r="C19">
        <v>35026692</v>
      </c>
      <c r="D19">
        <v>31520575</v>
      </c>
      <c r="E19">
        <v>1</v>
      </c>
      <c r="F19">
        <v>1</v>
      </c>
      <c r="G19">
        <v>1</v>
      </c>
      <c r="H19">
        <v>2</v>
      </c>
      <c r="I19" t="s">
        <v>268</v>
      </c>
      <c r="J19" t="s">
        <v>269</v>
      </c>
      <c r="K19" t="s">
        <v>270</v>
      </c>
      <c r="L19">
        <v>1368</v>
      </c>
      <c r="N19">
        <v>1011</v>
      </c>
      <c r="O19" t="s">
        <v>242</v>
      </c>
      <c r="P19" t="s">
        <v>242</v>
      </c>
      <c r="Q19">
        <v>1</v>
      </c>
      <c r="X19">
        <v>1.42</v>
      </c>
      <c r="Y19">
        <v>0</v>
      </c>
      <c r="Z19">
        <v>110</v>
      </c>
      <c r="AA19">
        <v>11.6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1.42</v>
      </c>
      <c r="AH19">
        <v>2</v>
      </c>
      <c r="AI19">
        <v>35027139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ROW(Source!A74)</f>
        <v>74</v>
      </c>
      <c r="B20">
        <v>35027140</v>
      </c>
      <c r="C20">
        <v>35026692</v>
      </c>
      <c r="D20">
        <v>31438650</v>
      </c>
      <c r="E20">
        <v>1</v>
      </c>
      <c r="F20">
        <v>1</v>
      </c>
      <c r="G20">
        <v>1</v>
      </c>
      <c r="H20">
        <v>3</v>
      </c>
      <c r="I20" t="s">
        <v>271</v>
      </c>
      <c r="J20" t="s">
        <v>272</v>
      </c>
      <c r="K20" t="s">
        <v>273</v>
      </c>
      <c r="L20">
        <v>1339</v>
      </c>
      <c r="N20">
        <v>1007</v>
      </c>
      <c r="O20" t="s">
        <v>128</v>
      </c>
      <c r="P20" t="s">
        <v>128</v>
      </c>
      <c r="Q20">
        <v>1</v>
      </c>
      <c r="X20">
        <v>5.2</v>
      </c>
      <c r="Y20">
        <v>2.44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5.2</v>
      </c>
      <c r="AH20">
        <v>2</v>
      </c>
      <c r="AI20">
        <v>35027140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ROW(Source!A74)</f>
        <v>74</v>
      </c>
      <c r="B21">
        <v>35027141</v>
      </c>
      <c r="C21">
        <v>35026692</v>
      </c>
      <c r="D21">
        <v>31442373</v>
      </c>
      <c r="E21">
        <v>1</v>
      </c>
      <c r="F21">
        <v>1</v>
      </c>
      <c r="G21">
        <v>1</v>
      </c>
      <c r="H21">
        <v>3</v>
      </c>
      <c r="I21" t="s">
        <v>274</v>
      </c>
      <c r="J21" t="s">
        <v>275</v>
      </c>
      <c r="K21" t="s">
        <v>276</v>
      </c>
      <c r="L21">
        <v>1348</v>
      </c>
      <c r="N21">
        <v>1009</v>
      </c>
      <c r="O21" t="s">
        <v>50</v>
      </c>
      <c r="P21" t="s">
        <v>50</v>
      </c>
      <c r="Q21">
        <v>1000</v>
      </c>
      <c r="X21">
        <v>2.9999999999999997E-4</v>
      </c>
      <c r="Y21">
        <v>37600.01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2.9999999999999997E-4</v>
      </c>
      <c r="AH21">
        <v>2</v>
      </c>
      <c r="AI21">
        <v>35027141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ROW(Source!A74)</f>
        <v>74</v>
      </c>
      <c r="B22">
        <v>35027142</v>
      </c>
      <c r="C22">
        <v>35026692</v>
      </c>
      <c r="D22">
        <v>31442399</v>
      </c>
      <c r="E22">
        <v>1</v>
      </c>
      <c r="F22">
        <v>1</v>
      </c>
      <c r="G22">
        <v>1</v>
      </c>
      <c r="H22">
        <v>3</v>
      </c>
      <c r="I22" t="s">
        <v>277</v>
      </c>
      <c r="J22" t="s">
        <v>278</v>
      </c>
      <c r="K22" t="s">
        <v>279</v>
      </c>
      <c r="L22">
        <v>1330</v>
      </c>
      <c r="N22">
        <v>1005</v>
      </c>
      <c r="O22" t="s">
        <v>280</v>
      </c>
      <c r="P22" t="s">
        <v>280</v>
      </c>
      <c r="Q22">
        <v>10</v>
      </c>
      <c r="X22">
        <v>0.15</v>
      </c>
      <c r="Y22">
        <v>84.75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0.15</v>
      </c>
      <c r="AH22">
        <v>2</v>
      </c>
      <c r="AI22">
        <v>35027142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ROW(Source!A74)</f>
        <v>74</v>
      </c>
      <c r="B23">
        <v>35027143</v>
      </c>
      <c r="C23">
        <v>35026692</v>
      </c>
      <c r="D23">
        <v>31467699</v>
      </c>
      <c r="E23">
        <v>1</v>
      </c>
      <c r="F23">
        <v>1</v>
      </c>
      <c r="G23">
        <v>1</v>
      </c>
      <c r="H23">
        <v>3</v>
      </c>
      <c r="I23" t="s">
        <v>281</v>
      </c>
      <c r="J23" t="s">
        <v>282</v>
      </c>
      <c r="K23" t="s">
        <v>283</v>
      </c>
      <c r="L23">
        <v>1354</v>
      </c>
      <c r="N23">
        <v>1010</v>
      </c>
      <c r="O23" t="s">
        <v>284</v>
      </c>
      <c r="P23" t="s">
        <v>284</v>
      </c>
      <c r="Q23">
        <v>1</v>
      </c>
      <c r="X23">
        <v>20</v>
      </c>
      <c r="Y23">
        <v>18.96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20</v>
      </c>
      <c r="AH23">
        <v>2</v>
      </c>
      <c r="AI23">
        <v>35027143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ROW(Source!A74)</f>
        <v>74</v>
      </c>
      <c r="B24">
        <v>35027144</v>
      </c>
      <c r="C24">
        <v>35026692</v>
      </c>
      <c r="D24">
        <v>31435883</v>
      </c>
      <c r="E24">
        <v>17</v>
      </c>
      <c r="F24">
        <v>1</v>
      </c>
      <c r="G24">
        <v>1</v>
      </c>
      <c r="H24">
        <v>3</v>
      </c>
      <c r="I24" t="s">
        <v>294</v>
      </c>
      <c r="J24" t="s">
        <v>3</v>
      </c>
      <c r="K24" t="s">
        <v>295</v>
      </c>
      <c r="L24">
        <v>1354</v>
      </c>
      <c r="N24">
        <v>1010</v>
      </c>
      <c r="O24" t="s">
        <v>284</v>
      </c>
      <c r="P24" t="s">
        <v>284</v>
      </c>
      <c r="Q24">
        <v>1</v>
      </c>
      <c r="X24">
        <v>10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3</v>
      </c>
      <c r="AG24">
        <v>10</v>
      </c>
      <c r="AH24">
        <v>3</v>
      </c>
      <c r="AI24">
        <v>-1</v>
      </c>
      <c r="AJ24" t="s">
        <v>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ROW(Source!A77)</f>
        <v>77</v>
      </c>
      <c r="B25">
        <v>35026720</v>
      </c>
      <c r="C25">
        <v>35026714</v>
      </c>
      <c r="D25">
        <v>31708430</v>
      </c>
      <c r="E25">
        <v>1</v>
      </c>
      <c r="F25">
        <v>1</v>
      </c>
      <c r="G25">
        <v>1</v>
      </c>
      <c r="H25">
        <v>1</v>
      </c>
      <c r="I25" t="s">
        <v>285</v>
      </c>
      <c r="J25" t="s">
        <v>3</v>
      </c>
      <c r="K25" t="s">
        <v>286</v>
      </c>
      <c r="L25">
        <v>1191</v>
      </c>
      <c r="N25">
        <v>1013</v>
      </c>
      <c r="O25" t="s">
        <v>234</v>
      </c>
      <c r="P25" t="s">
        <v>234</v>
      </c>
      <c r="Q25">
        <v>1</v>
      </c>
      <c r="X25">
        <v>1.31</v>
      </c>
      <c r="Y25">
        <v>0</v>
      </c>
      <c r="Z25">
        <v>0</v>
      </c>
      <c r="AA25">
        <v>0</v>
      </c>
      <c r="AB25">
        <v>8.64</v>
      </c>
      <c r="AC25">
        <v>0</v>
      </c>
      <c r="AD25">
        <v>1</v>
      </c>
      <c r="AE25">
        <v>1</v>
      </c>
      <c r="AF25" t="s">
        <v>3</v>
      </c>
      <c r="AG25">
        <v>1.31</v>
      </c>
      <c r="AH25">
        <v>2</v>
      </c>
      <c r="AI25">
        <v>35026715</v>
      </c>
      <c r="AJ25">
        <v>26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ROW(Source!A77)</f>
        <v>77</v>
      </c>
      <c r="B26">
        <v>35026721</v>
      </c>
      <c r="C26">
        <v>35026714</v>
      </c>
      <c r="D26">
        <v>31703727</v>
      </c>
      <c r="E26">
        <v>1</v>
      </c>
      <c r="F26">
        <v>1</v>
      </c>
      <c r="G26">
        <v>1</v>
      </c>
      <c r="H26">
        <v>1</v>
      </c>
      <c r="I26" t="s">
        <v>237</v>
      </c>
      <c r="J26" t="s">
        <v>3</v>
      </c>
      <c r="K26" t="s">
        <v>238</v>
      </c>
      <c r="L26">
        <v>1191</v>
      </c>
      <c r="N26">
        <v>1013</v>
      </c>
      <c r="O26" t="s">
        <v>234</v>
      </c>
      <c r="P26" t="s">
        <v>234</v>
      </c>
      <c r="Q26">
        <v>1</v>
      </c>
      <c r="X26">
        <v>7.0000000000000007E-2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2</v>
      </c>
      <c r="AF26" t="s">
        <v>3</v>
      </c>
      <c r="AG26">
        <v>7.0000000000000007E-2</v>
      </c>
      <c r="AH26">
        <v>2</v>
      </c>
      <c r="AI26">
        <v>35026716</v>
      </c>
      <c r="AJ26">
        <v>27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ROW(Source!A77)</f>
        <v>77</v>
      </c>
      <c r="B27">
        <v>35026722</v>
      </c>
      <c r="C27">
        <v>35026714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287</v>
      </c>
      <c r="J27" t="s">
        <v>288</v>
      </c>
      <c r="K27" t="s">
        <v>289</v>
      </c>
      <c r="L27">
        <v>1368</v>
      </c>
      <c r="N27">
        <v>1011</v>
      </c>
      <c r="O27" t="s">
        <v>242</v>
      </c>
      <c r="P27" t="s">
        <v>242</v>
      </c>
      <c r="Q27">
        <v>1</v>
      </c>
      <c r="X27">
        <v>7.0000000000000007E-2</v>
      </c>
      <c r="Y27">
        <v>0</v>
      </c>
      <c r="Z27">
        <v>65.709999999999994</v>
      </c>
      <c r="AA27">
        <v>11.6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7.0000000000000007E-2</v>
      </c>
      <c r="AH27">
        <v>2</v>
      </c>
      <c r="AI27">
        <v>35026717</v>
      </c>
      <c r="AJ27">
        <v>28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ROW(Source!A77)</f>
        <v>77</v>
      </c>
      <c r="B28">
        <v>35026723</v>
      </c>
      <c r="C28">
        <v>35026714</v>
      </c>
      <c r="D28">
        <v>31443955</v>
      </c>
      <c r="E28">
        <v>1</v>
      </c>
      <c r="F28">
        <v>1</v>
      </c>
      <c r="G28">
        <v>1</v>
      </c>
      <c r="H28">
        <v>3</v>
      </c>
      <c r="I28" t="s">
        <v>150</v>
      </c>
      <c r="J28" t="s">
        <v>152</v>
      </c>
      <c r="K28" t="s">
        <v>151</v>
      </c>
      <c r="L28">
        <v>1339</v>
      </c>
      <c r="N28">
        <v>1007</v>
      </c>
      <c r="O28" t="s">
        <v>128</v>
      </c>
      <c r="P28" t="s">
        <v>128</v>
      </c>
      <c r="Q28">
        <v>1</v>
      </c>
      <c r="X28">
        <v>8.0000000000000004E-4</v>
      </c>
      <c r="Y28">
        <v>665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8.0000000000000004E-4</v>
      </c>
      <c r="AH28">
        <v>2</v>
      </c>
      <c r="AI28">
        <v>35026718</v>
      </c>
      <c r="AJ28">
        <v>29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ROW(Source!A77)</f>
        <v>77</v>
      </c>
      <c r="B29">
        <v>35026724</v>
      </c>
      <c r="C29">
        <v>35026714</v>
      </c>
      <c r="D29">
        <v>31432917</v>
      </c>
      <c r="E29">
        <v>17</v>
      </c>
      <c r="F29">
        <v>1</v>
      </c>
      <c r="G29">
        <v>1</v>
      </c>
      <c r="H29">
        <v>3</v>
      </c>
      <c r="I29" t="s">
        <v>296</v>
      </c>
      <c r="J29" t="s">
        <v>3</v>
      </c>
      <c r="K29" t="s">
        <v>297</v>
      </c>
      <c r="L29">
        <v>1354</v>
      </c>
      <c r="N29">
        <v>1010</v>
      </c>
      <c r="O29" t="s">
        <v>284</v>
      </c>
      <c r="P29" t="s">
        <v>284</v>
      </c>
      <c r="Q29">
        <v>1</v>
      </c>
      <c r="X29">
        <v>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 t="s">
        <v>3</v>
      </c>
      <c r="AG29">
        <v>1</v>
      </c>
      <c r="AH29">
        <v>3</v>
      </c>
      <c r="AI29">
        <v>-1</v>
      </c>
      <c r="AJ29" t="s">
        <v>3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ROW(Source!A80)</f>
        <v>80</v>
      </c>
      <c r="B30">
        <v>35027164</v>
      </c>
      <c r="C30">
        <v>35026727</v>
      </c>
      <c r="D30">
        <v>31704098</v>
      </c>
      <c r="E30">
        <v>1</v>
      </c>
      <c r="F30">
        <v>1</v>
      </c>
      <c r="G30">
        <v>1</v>
      </c>
      <c r="H30">
        <v>1</v>
      </c>
      <c r="I30" t="s">
        <v>290</v>
      </c>
      <c r="J30" t="s">
        <v>3</v>
      </c>
      <c r="K30" t="s">
        <v>291</v>
      </c>
      <c r="L30">
        <v>1191</v>
      </c>
      <c r="N30">
        <v>1013</v>
      </c>
      <c r="O30" t="s">
        <v>234</v>
      </c>
      <c r="P30" t="s">
        <v>234</v>
      </c>
      <c r="Q30">
        <v>1</v>
      </c>
      <c r="X30">
        <v>44.24</v>
      </c>
      <c r="Y30">
        <v>0</v>
      </c>
      <c r="Z30">
        <v>0</v>
      </c>
      <c r="AA30">
        <v>0</v>
      </c>
      <c r="AB30">
        <v>8.5299999999999994</v>
      </c>
      <c r="AC30">
        <v>0</v>
      </c>
      <c r="AD30">
        <v>1</v>
      </c>
      <c r="AE30">
        <v>1</v>
      </c>
      <c r="AF30" t="s">
        <v>3</v>
      </c>
      <c r="AG30">
        <v>44.24</v>
      </c>
      <c r="AH30">
        <v>2</v>
      </c>
      <c r="AI30">
        <v>35027164</v>
      </c>
      <c r="AJ30">
        <v>31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ROW(Source!A80)</f>
        <v>80</v>
      </c>
      <c r="B31">
        <v>35027165</v>
      </c>
      <c r="C31">
        <v>35026727</v>
      </c>
      <c r="D31">
        <v>31703727</v>
      </c>
      <c r="E31">
        <v>1</v>
      </c>
      <c r="F31">
        <v>1</v>
      </c>
      <c r="G31">
        <v>1</v>
      </c>
      <c r="H31">
        <v>1</v>
      </c>
      <c r="I31" t="s">
        <v>237</v>
      </c>
      <c r="J31" t="s">
        <v>3</v>
      </c>
      <c r="K31" t="s">
        <v>238</v>
      </c>
      <c r="L31">
        <v>1191</v>
      </c>
      <c r="N31">
        <v>1013</v>
      </c>
      <c r="O31" t="s">
        <v>234</v>
      </c>
      <c r="P31" t="s">
        <v>234</v>
      </c>
      <c r="Q31">
        <v>1</v>
      </c>
      <c r="X31">
        <v>2.74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2</v>
      </c>
      <c r="AF31" t="s">
        <v>3</v>
      </c>
      <c r="AG31">
        <v>2.74</v>
      </c>
      <c r="AH31">
        <v>2</v>
      </c>
      <c r="AI31">
        <v>35027165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ROW(Source!A80)</f>
        <v>80</v>
      </c>
      <c r="B32">
        <v>35027166</v>
      </c>
      <c r="C32">
        <v>35026727</v>
      </c>
      <c r="D32">
        <v>31520575</v>
      </c>
      <c r="E32">
        <v>1</v>
      </c>
      <c r="F32">
        <v>1</v>
      </c>
      <c r="G32">
        <v>1</v>
      </c>
      <c r="H32">
        <v>2</v>
      </c>
      <c r="I32" t="s">
        <v>268</v>
      </c>
      <c r="J32" t="s">
        <v>269</v>
      </c>
      <c r="K32" t="s">
        <v>270</v>
      </c>
      <c r="L32">
        <v>1368</v>
      </c>
      <c r="N32">
        <v>1011</v>
      </c>
      <c r="O32" t="s">
        <v>242</v>
      </c>
      <c r="P32" t="s">
        <v>242</v>
      </c>
      <c r="Q32">
        <v>1</v>
      </c>
      <c r="X32">
        <v>2.74</v>
      </c>
      <c r="Y32">
        <v>0</v>
      </c>
      <c r="Z32">
        <v>110</v>
      </c>
      <c r="AA32">
        <v>11.6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2.74</v>
      </c>
      <c r="AH32">
        <v>2</v>
      </c>
      <c r="AI32">
        <v>35027166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ROW(Source!A80)</f>
        <v>80</v>
      </c>
      <c r="B33">
        <v>35027167</v>
      </c>
      <c r="C33">
        <v>35026727</v>
      </c>
      <c r="D33">
        <v>31438650</v>
      </c>
      <c r="E33">
        <v>1</v>
      </c>
      <c r="F33">
        <v>1</v>
      </c>
      <c r="G33">
        <v>1</v>
      </c>
      <c r="H33">
        <v>3</v>
      </c>
      <c r="I33" t="s">
        <v>271</v>
      </c>
      <c r="J33" t="s">
        <v>272</v>
      </c>
      <c r="K33" t="s">
        <v>273</v>
      </c>
      <c r="L33">
        <v>1339</v>
      </c>
      <c r="N33">
        <v>1007</v>
      </c>
      <c r="O33" t="s">
        <v>128</v>
      </c>
      <c r="P33" t="s">
        <v>128</v>
      </c>
      <c r="Q33">
        <v>1</v>
      </c>
      <c r="X33">
        <v>10</v>
      </c>
      <c r="Y33">
        <v>2.44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10</v>
      </c>
      <c r="AH33">
        <v>2</v>
      </c>
      <c r="AI33">
        <v>35027167</v>
      </c>
      <c r="AJ33">
        <v>34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ROW(Source!A80)</f>
        <v>80</v>
      </c>
      <c r="B34">
        <v>35027168</v>
      </c>
      <c r="C34">
        <v>35026727</v>
      </c>
      <c r="D34">
        <v>31442373</v>
      </c>
      <c r="E34">
        <v>1</v>
      </c>
      <c r="F34">
        <v>1</v>
      </c>
      <c r="G34">
        <v>1</v>
      </c>
      <c r="H34">
        <v>3</v>
      </c>
      <c r="I34" t="s">
        <v>274</v>
      </c>
      <c r="J34" t="s">
        <v>275</v>
      </c>
      <c r="K34" t="s">
        <v>276</v>
      </c>
      <c r="L34">
        <v>1348</v>
      </c>
      <c r="N34">
        <v>1009</v>
      </c>
      <c r="O34" t="s">
        <v>50</v>
      </c>
      <c r="P34" t="s">
        <v>50</v>
      </c>
      <c r="Q34">
        <v>1000</v>
      </c>
      <c r="X34">
        <v>6.9999999999999994E-5</v>
      </c>
      <c r="Y34">
        <v>37600.01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6.9999999999999994E-5</v>
      </c>
      <c r="AH34">
        <v>2</v>
      </c>
      <c r="AI34">
        <v>35027168</v>
      </c>
      <c r="AJ34">
        <v>35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ROW(Source!A80)</f>
        <v>80</v>
      </c>
      <c r="B35">
        <v>35027169</v>
      </c>
      <c r="C35">
        <v>35026727</v>
      </c>
      <c r="D35">
        <v>31442399</v>
      </c>
      <c r="E35">
        <v>1</v>
      </c>
      <c r="F35">
        <v>1</v>
      </c>
      <c r="G35">
        <v>1</v>
      </c>
      <c r="H35">
        <v>3</v>
      </c>
      <c r="I35" t="s">
        <v>277</v>
      </c>
      <c r="J35" t="s">
        <v>278</v>
      </c>
      <c r="K35" t="s">
        <v>279</v>
      </c>
      <c r="L35">
        <v>1330</v>
      </c>
      <c r="N35">
        <v>1005</v>
      </c>
      <c r="O35" t="s">
        <v>280</v>
      </c>
      <c r="P35" t="s">
        <v>280</v>
      </c>
      <c r="Q35">
        <v>10</v>
      </c>
      <c r="X35">
        <v>0.15</v>
      </c>
      <c r="Y35">
        <v>84.75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0.15</v>
      </c>
      <c r="AH35">
        <v>2</v>
      </c>
      <c r="AI35">
        <v>35027169</v>
      </c>
      <c r="AJ35">
        <v>36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ROW(Source!A80)</f>
        <v>80</v>
      </c>
      <c r="B36">
        <v>35027170</v>
      </c>
      <c r="C36">
        <v>35026727</v>
      </c>
      <c r="D36">
        <v>31467699</v>
      </c>
      <c r="E36">
        <v>1</v>
      </c>
      <c r="F36">
        <v>1</v>
      </c>
      <c r="G36">
        <v>1</v>
      </c>
      <c r="H36">
        <v>3</v>
      </c>
      <c r="I36" t="s">
        <v>281</v>
      </c>
      <c r="J36" t="s">
        <v>282</v>
      </c>
      <c r="K36" t="s">
        <v>283</v>
      </c>
      <c r="L36">
        <v>1354</v>
      </c>
      <c r="N36">
        <v>1010</v>
      </c>
      <c r="O36" t="s">
        <v>284</v>
      </c>
      <c r="P36" t="s">
        <v>284</v>
      </c>
      <c r="Q36">
        <v>1</v>
      </c>
      <c r="X36">
        <v>4</v>
      </c>
      <c r="Y36">
        <v>18.96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4</v>
      </c>
      <c r="AH36">
        <v>2</v>
      </c>
      <c r="AI36">
        <v>35027170</v>
      </c>
      <c r="AJ36">
        <v>37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ROW(Source!A81)</f>
        <v>81</v>
      </c>
      <c r="B37">
        <v>35027184</v>
      </c>
      <c r="C37">
        <v>35027062</v>
      </c>
      <c r="D37">
        <v>31703848</v>
      </c>
      <c r="E37">
        <v>1</v>
      </c>
      <c r="F37">
        <v>1</v>
      </c>
      <c r="G37">
        <v>1</v>
      </c>
      <c r="H37">
        <v>1</v>
      </c>
      <c r="I37" t="s">
        <v>249</v>
      </c>
      <c r="J37" t="s">
        <v>3</v>
      </c>
      <c r="K37" t="s">
        <v>250</v>
      </c>
      <c r="L37">
        <v>1191</v>
      </c>
      <c r="N37">
        <v>1013</v>
      </c>
      <c r="O37" t="s">
        <v>234</v>
      </c>
      <c r="P37" t="s">
        <v>234</v>
      </c>
      <c r="Q37">
        <v>1</v>
      </c>
      <c r="X37">
        <v>18.07</v>
      </c>
      <c r="Y37">
        <v>0</v>
      </c>
      <c r="Z37">
        <v>0</v>
      </c>
      <c r="AA37">
        <v>0</v>
      </c>
      <c r="AB37">
        <v>7.8</v>
      </c>
      <c r="AC37">
        <v>0</v>
      </c>
      <c r="AD37">
        <v>1</v>
      </c>
      <c r="AE37">
        <v>1</v>
      </c>
      <c r="AF37" t="s">
        <v>3</v>
      </c>
      <c r="AG37">
        <v>18.07</v>
      </c>
      <c r="AH37">
        <v>2</v>
      </c>
      <c r="AI37">
        <v>35027184</v>
      </c>
      <c r="AJ37">
        <v>38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ROW(Source!A81)</f>
        <v>81</v>
      </c>
      <c r="B38">
        <v>35027185</v>
      </c>
      <c r="C38">
        <v>35027062</v>
      </c>
      <c r="D38">
        <v>31703727</v>
      </c>
      <c r="E38">
        <v>1</v>
      </c>
      <c r="F38">
        <v>1</v>
      </c>
      <c r="G38">
        <v>1</v>
      </c>
      <c r="H38">
        <v>1</v>
      </c>
      <c r="I38" t="s">
        <v>237</v>
      </c>
      <c r="J38" t="s">
        <v>3</v>
      </c>
      <c r="K38" t="s">
        <v>238</v>
      </c>
      <c r="L38">
        <v>1191</v>
      </c>
      <c r="N38">
        <v>1013</v>
      </c>
      <c r="O38" t="s">
        <v>234</v>
      </c>
      <c r="P38" t="s">
        <v>234</v>
      </c>
      <c r="Q38">
        <v>1</v>
      </c>
      <c r="X38">
        <v>1.43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2</v>
      </c>
      <c r="AF38" t="s">
        <v>3</v>
      </c>
      <c r="AG38">
        <v>1.43</v>
      </c>
      <c r="AH38">
        <v>2</v>
      </c>
      <c r="AI38">
        <v>35027185</v>
      </c>
      <c r="AJ38">
        <v>39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ROW(Source!A81)</f>
        <v>81</v>
      </c>
      <c r="B39">
        <v>35027186</v>
      </c>
      <c r="C39">
        <v>35027062</v>
      </c>
      <c r="D39">
        <v>31518564</v>
      </c>
      <c r="E39">
        <v>1</v>
      </c>
      <c r="F39">
        <v>1</v>
      </c>
      <c r="G39">
        <v>1</v>
      </c>
      <c r="H39">
        <v>2</v>
      </c>
      <c r="I39" t="s">
        <v>257</v>
      </c>
      <c r="J39" t="s">
        <v>258</v>
      </c>
      <c r="K39" t="s">
        <v>259</v>
      </c>
      <c r="L39">
        <v>1368</v>
      </c>
      <c r="N39">
        <v>1011</v>
      </c>
      <c r="O39" t="s">
        <v>242</v>
      </c>
      <c r="P39" t="s">
        <v>242</v>
      </c>
      <c r="Q39">
        <v>1</v>
      </c>
      <c r="X39">
        <v>1.43</v>
      </c>
      <c r="Y39">
        <v>0</v>
      </c>
      <c r="Z39">
        <v>70.010000000000005</v>
      </c>
      <c r="AA39">
        <v>11.6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1.43</v>
      </c>
      <c r="AH39">
        <v>2</v>
      </c>
      <c r="AI39">
        <v>35027186</v>
      </c>
      <c r="AJ39">
        <v>40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ROW(Source!A82)</f>
        <v>82</v>
      </c>
      <c r="B40">
        <v>35027234</v>
      </c>
      <c r="C40">
        <v>35027223</v>
      </c>
      <c r="D40">
        <v>31709886</v>
      </c>
      <c r="E40">
        <v>1</v>
      </c>
      <c r="F40">
        <v>1</v>
      </c>
      <c r="G40">
        <v>1</v>
      </c>
      <c r="H40">
        <v>1</v>
      </c>
      <c r="I40" t="s">
        <v>263</v>
      </c>
      <c r="J40" t="s">
        <v>3</v>
      </c>
      <c r="K40" t="s">
        <v>264</v>
      </c>
      <c r="L40">
        <v>1191</v>
      </c>
      <c r="N40">
        <v>1013</v>
      </c>
      <c r="O40" t="s">
        <v>234</v>
      </c>
      <c r="P40" t="s">
        <v>234</v>
      </c>
      <c r="Q40">
        <v>1</v>
      </c>
      <c r="X40">
        <v>43.05</v>
      </c>
      <c r="Y40">
        <v>0</v>
      </c>
      <c r="Z40">
        <v>0</v>
      </c>
      <c r="AA40">
        <v>0</v>
      </c>
      <c r="AB40">
        <v>9.6199999999999992</v>
      </c>
      <c r="AC40">
        <v>0</v>
      </c>
      <c r="AD40">
        <v>1</v>
      </c>
      <c r="AE40">
        <v>1</v>
      </c>
      <c r="AF40" t="s">
        <v>3</v>
      </c>
      <c r="AG40">
        <v>43.05</v>
      </c>
      <c r="AH40">
        <v>2</v>
      </c>
      <c r="AI40">
        <v>35027224</v>
      </c>
      <c r="AJ40">
        <v>41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ROW(Source!A82)</f>
        <v>82</v>
      </c>
      <c r="B41">
        <v>35027235</v>
      </c>
      <c r="C41">
        <v>35027223</v>
      </c>
      <c r="D41">
        <v>31703727</v>
      </c>
      <c r="E41">
        <v>1</v>
      </c>
      <c r="F41">
        <v>1</v>
      </c>
      <c r="G41">
        <v>1</v>
      </c>
      <c r="H41">
        <v>1</v>
      </c>
      <c r="I41" t="s">
        <v>237</v>
      </c>
      <c r="J41" t="s">
        <v>3</v>
      </c>
      <c r="K41" t="s">
        <v>238</v>
      </c>
      <c r="L41">
        <v>1191</v>
      </c>
      <c r="N41">
        <v>1013</v>
      </c>
      <c r="O41" t="s">
        <v>234</v>
      </c>
      <c r="P41" t="s">
        <v>234</v>
      </c>
      <c r="Q41">
        <v>1</v>
      </c>
      <c r="X41">
        <v>3.25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2</v>
      </c>
      <c r="AF41" t="s">
        <v>3</v>
      </c>
      <c r="AG41">
        <v>3.25</v>
      </c>
      <c r="AH41">
        <v>2</v>
      </c>
      <c r="AI41">
        <v>35027225</v>
      </c>
      <c r="AJ41">
        <v>42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ROW(Source!A82)</f>
        <v>82</v>
      </c>
      <c r="B42">
        <v>35027236</v>
      </c>
      <c r="C42">
        <v>35027223</v>
      </c>
      <c r="D42">
        <v>31519244</v>
      </c>
      <c r="E42">
        <v>1</v>
      </c>
      <c r="F42">
        <v>1</v>
      </c>
      <c r="G42">
        <v>1</v>
      </c>
      <c r="H42">
        <v>2</v>
      </c>
      <c r="I42" t="s">
        <v>265</v>
      </c>
      <c r="J42" t="s">
        <v>266</v>
      </c>
      <c r="K42" t="s">
        <v>267</v>
      </c>
      <c r="L42">
        <v>1368</v>
      </c>
      <c r="N42">
        <v>1011</v>
      </c>
      <c r="O42" t="s">
        <v>242</v>
      </c>
      <c r="P42" t="s">
        <v>242</v>
      </c>
      <c r="Q42">
        <v>1</v>
      </c>
      <c r="X42">
        <v>1.83</v>
      </c>
      <c r="Y42">
        <v>0</v>
      </c>
      <c r="Z42">
        <v>111.99</v>
      </c>
      <c r="AA42">
        <v>13.5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1.83</v>
      </c>
      <c r="AH42">
        <v>2</v>
      </c>
      <c r="AI42">
        <v>35027226</v>
      </c>
      <c r="AJ42">
        <v>43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ROW(Source!A82)</f>
        <v>82</v>
      </c>
      <c r="B43">
        <v>35027237</v>
      </c>
      <c r="C43">
        <v>35027223</v>
      </c>
      <c r="D43">
        <v>31520575</v>
      </c>
      <c r="E43">
        <v>1</v>
      </c>
      <c r="F43">
        <v>1</v>
      </c>
      <c r="G43">
        <v>1</v>
      </c>
      <c r="H43">
        <v>2</v>
      </c>
      <c r="I43" t="s">
        <v>268</v>
      </c>
      <c r="J43" t="s">
        <v>269</v>
      </c>
      <c r="K43" t="s">
        <v>270</v>
      </c>
      <c r="L43">
        <v>1368</v>
      </c>
      <c r="N43">
        <v>1011</v>
      </c>
      <c r="O43" t="s">
        <v>242</v>
      </c>
      <c r="P43" t="s">
        <v>242</v>
      </c>
      <c r="Q43">
        <v>1</v>
      </c>
      <c r="X43">
        <v>1.42</v>
      </c>
      <c r="Y43">
        <v>0</v>
      </c>
      <c r="Z43">
        <v>110</v>
      </c>
      <c r="AA43">
        <v>11.6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1.42</v>
      </c>
      <c r="AH43">
        <v>2</v>
      </c>
      <c r="AI43">
        <v>35027227</v>
      </c>
      <c r="AJ43">
        <v>44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ROW(Source!A82)</f>
        <v>82</v>
      </c>
      <c r="B44">
        <v>35027238</v>
      </c>
      <c r="C44">
        <v>35027223</v>
      </c>
      <c r="D44">
        <v>31438650</v>
      </c>
      <c r="E44">
        <v>1</v>
      </c>
      <c r="F44">
        <v>1</v>
      </c>
      <c r="G44">
        <v>1</v>
      </c>
      <c r="H44">
        <v>3</v>
      </c>
      <c r="I44" t="s">
        <v>271</v>
      </c>
      <c r="J44" t="s">
        <v>272</v>
      </c>
      <c r="K44" t="s">
        <v>273</v>
      </c>
      <c r="L44">
        <v>1339</v>
      </c>
      <c r="N44">
        <v>1007</v>
      </c>
      <c r="O44" t="s">
        <v>128</v>
      </c>
      <c r="P44" t="s">
        <v>128</v>
      </c>
      <c r="Q44">
        <v>1</v>
      </c>
      <c r="X44">
        <v>5.2</v>
      </c>
      <c r="Y44">
        <v>2.44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5.2</v>
      </c>
      <c r="AH44">
        <v>2</v>
      </c>
      <c r="AI44">
        <v>35027228</v>
      </c>
      <c r="AJ44">
        <v>45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ROW(Source!A82)</f>
        <v>82</v>
      </c>
      <c r="B45">
        <v>35027239</v>
      </c>
      <c r="C45">
        <v>35027223</v>
      </c>
      <c r="D45">
        <v>31442373</v>
      </c>
      <c r="E45">
        <v>1</v>
      </c>
      <c r="F45">
        <v>1</v>
      </c>
      <c r="G45">
        <v>1</v>
      </c>
      <c r="H45">
        <v>3</v>
      </c>
      <c r="I45" t="s">
        <v>274</v>
      </c>
      <c r="J45" t="s">
        <v>275</v>
      </c>
      <c r="K45" t="s">
        <v>276</v>
      </c>
      <c r="L45">
        <v>1348</v>
      </c>
      <c r="N45">
        <v>1009</v>
      </c>
      <c r="O45" t="s">
        <v>50</v>
      </c>
      <c r="P45" t="s">
        <v>50</v>
      </c>
      <c r="Q45">
        <v>1000</v>
      </c>
      <c r="X45">
        <v>2.9999999999999997E-4</v>
      </c>
      <c r="Y45">
        <v>37600.01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2.9999999999999997E-4</v>
      </c>
      <c r="AH45">
        <v>2</v>
      </c>
      <c r="AI45">
        <v>35027229</v>
      </c>
      <c r="AJ45">
        <v>46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ROW(Source!A82)</f>
        <v>82</v>
      </c>
      <c r="B46">
        <v>35027240</v>
      </c>
      <c r="C46">
        <v>35027223</v>
      </c>
      <c r="D46">
        <v>31442399</v>
      </c>
      <c r="E46">
        <v>1</v>
      </c>
      <c r="F46">
        <v>1</v>
      </c>
      <c r="G46">
        <v>1</v>
      </c>
      <c r="H46">
        <v>3</v>
      </c>
      <c r="I46" t="s">
        <v>277</v>
      </c>
      <c r="J46" t="s">
        <v>278</v>
      </c>
      <c r="K46" t="s">
        <v>279</v>
      </c>
      <c r="L46">
        <v>1330</v>
      </c>
      <c r="N46">
        <v>1005</v>
      </c>
      <c r="O46" t="s">
        <v>280</v>
      </c>
      <c r="P46" t="s">
        <v>280</v>
      </c>
      <c r="Q46">
        <v>10</v>
      </c>
      <c r="X46">
        <v>0.15</v>
      </c>
      <c r="Y46">
        <v>84.75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0.15</v>
      </c>
      <c r="AH46">
        <v>2</v>
      </c>
      <c r="AI46">
        <v>35027230</v>
      </c>
      <c r="AJ46">
        <v>47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ROW(Source!A82)</f>
        <v>82</v>
      </c>
      <c r="B47">
        <v>35027241</v>
      </c>
      <c r="C47">
        <v>35027223</v>
      </c>
      <c r="D47">
        <v>31467699</v>
      </c>
      <c r="E47">
        <v>1</v>
      </c>
      <c r="F47">
        <v>1</v>
      </c>
      <c r="G47">
        <v>1</v>
      </c>
      <c r="H47">
        <v>3</v>
      </c>
      <c r="I47" t="s">
        <v>281</v>
      </c>
      <c r="J47" t="s">
        <v>282</v>
      </c>
      <c r="K47" t="s">
        <v>283</v>
      </c>
      <c r="L47">
        <v>1354</v>
      </c>
      <c r="N47">
        <v>1010</v>
      </c>
      <c r="O47" t="s">
        <v>284</v>
      </c>
      <c r="P47" t="s">
        <v>284</v>
      </c>
      <c r="Q47">
        <v>1</v>
      </c>
      <c r="X47">
        <v>20</v>
      </c>
      <c r="Y47">
        <v>18.96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20</v>
      </c>
      <c r="AH47">
        <v>2</v>
      </c>
      <c r="AI47">
        <v>35027231</v>
      </c>
      <c r="AJ47">
        <v>48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ROW(Source!A82)</f>
        <v>82</v>
      </c>
      <c r="B48">
        <v>35027242</v>
      </c>
      <c r="C48">
        <v>35027223</v>
      </c>
      <c r="D48">
        <v>31435883</v>
      </c>
      <c r="E48">
        <v>17</v>
      </c>
      <c r="F48">
        <v>1</v>
      </c>
      <c r="G48">
        <v>1</v>
      </c>
      <c r="H48">
        <v>3</v>
      </c>
      <c r="I48" t="s">
        <v>294</v>
      </c>
      <c r="J48" t="s">
        <v>3</v>
      </c>
      <c r="K48" t="s">
        <v>295</v>
      </c>
      <c r="L48">
        <v>1354</v>
      </c>
      <c r="N48">
        <v>1010</v>
      </c>
      <c r="O48" t="s">
        <v>284</v>
      </c>
      <c r="P48" t="s">
        <v>284</v>
      </c>
      <c r="Q48">
        <v>1</v>
      </c>
      <c r="X48">
        <v>10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 t="s">
        <v>3</v>
      </c>
      <c r="AG48">
        <v>10</v>
      </c>
      <c r="AH48">
        <v>3</v>
      </c>
      <c r="AI48">
        <v>-1</v>
      </c>
      <c r="AJ48" t="s">
        <v>3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Sokolova Maria</cp:lastModifiedBy>
  <dcterms:created xsi:type="dcterms:W3CDTF">2018-03-13T07:24:53Z</dcterms:created>
  <dcterms:modified xsi:type="dcterms:W3CDTF">2018-04-03T06:24:55Z</dcterms:modified>
</cp:coreProperties>
</file>